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traumas-my.sharepoint.com/personal/ieva_klavina_tos_lv/Documents/Dokumenti/Dokumenti/2025 gads/BUDŽETA IZPILDE 1 CET/"/>
    </mc:Choice>
  </mc:AlternateContent>
  <xr:revisionPtr revIDLastSave="3725" documentId="8_{B84471A4-4E5E-42B1-B8F8-D47AFFB2BF53}" xr6:coauthVersionLast="47" xr6:coauthVersionMax="47" xr10:uidLastSave="{CCD9C69F-AFB3-4C4A-A5FB-F419C8E7F04B}"/>
  <bookViews>
    <workbookView xWindow="-120" yWindow="-120" windowWidth="29040" windowHeight="15720" xr2:uid="{00000000-000D-0000-FFFF-FFFF00000000}"/>
  </bookViews>
  <sheets>
    <sheet name="Budžeta tāme" sheetId="2" r:id="rId1"/>
    <sheet name="PZ Aprēķins" sheetId="12" r:id="rId2"/>
    <sheet name="Bilance" sheetId="11" r:id="rId3"/>
    <sheet name="Naudas plūsma" sheetId="5" r:id="rId4"/>
    <sheet name="Naturālie rādītāji" sheetId="10" r:id="rId5"/>
    <sheet name="Ieguldījumu tāme" sheetId="9" r:id="rId6"/>
    <sheet name="Kreditori, Debitori" sheetId="13" r:id="rId7"/>
  </sheets>
  <externalReferences>
    <externalReference r:id="rId8"/>
  </externalReferences>
  <definedNames>
    <definedName name="dff">#NAME?</definedName>
    <definedName name="_xlnm.Print_Area" localSheetId="2">Bilance!$A$1:$U$84</definedName>
    <definedName name="_xlnm.Print_Area" localSheetId="5">'Ieguldījumu tāme'!$A$1:$K$59</definedName>
    <definedName name="_xlnm.Print_Area" localSheetId="6">'Kreditori, Debitori'!$B$1:$F$126</definedName>
    <definedName name="_xlnm.Print_Area" localSheetId="4">'Naturālie rādītāji'!$A$53:$S$82</definedName>
    <definedName name="_xlnm.Print_Area" localSheetId="1">'PZ Aprēķins'!$A$1:$U$21</definedName>
    <definedName name="_xlnm.Print_Titles" localSheetId="4">'Naturālie rādītāji'!#REF!</definedName>
    <definedName name="hh" localSheetId="4">#REF!</definedName>
    <definedName name="hh">#REF!</definedName>
    <definedName name="izm.kods" localSheetId="4">#REF!</definedName>
    <definedName name="izm.kods">#REF!</definedName>
    <definedName name="izm.kods_1">[1]izm.posteni!$A$2:$A$216</definedName>
    <definedName name="izm.nos">#REF!</definedName>
    <definedName name="izm.nos_1">[1]izm.posteni!$B$2:$B$216</definedName>
    <definedName name="S5\">#REF!</definedName>
    <definedName name="Str.">#REF!</definedName>
    <definedName name="Str.vien.nos.">#REF!</definedName>
    <definedName name="Struktura">#REF!</definedName>
    <definedName name="Struktūrvien.kodi2">#REF!</definedName>
    <definedName name="Struktūrvien.kodi2_1">[1]strukturkodi!$B$2:$B$232</definedName>
    <definedName name="Struktūrvien.kods">#REF!</definedName>
    <definedName name="Struktūrvien.kods_1">[1]strukturkodi!$A$2:$A$232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 i="2" l="1"/>
  <c r="U3" i="2" l="1"/>
  <c r="C70" i="13"/>
  <c r="C96" i="13"/>
  <c r="U37" i="11"/>
  <c r="U76" i="11"/>
  <c r="D52" i="13"/>
  <c r="E52" i="13"/>
  <c r="C52" i="13"/>
  <c r="E54" i="13"/>
  <c r="D54" i="13"/>
  <c r="C23" i="13"/>
  <c r="C73" i="13"/>
  <c r="C68" i="13"/>
  <c r="C33" i="13" s="1"/>
  <c r="U74" i="11"/>
  <c r="U37" i="9"/>
  <c r="U18" i="9"/>
  <c r="U41" i="9"/>
  <c r="U38" i="9"/>
  <c r="U53" i="9"/>
  <c r="U49" i="9" s="1"/>
  <c r="U148" i="2"/>
  <c r="U131" i="2"/>
  <c r="U170" i="2"/>
  <c r="U6" i="2"/>
  <c r="V6" i="2"/>
  <c r="U164" i="2"/>
  <c r="U19" i="9"/>
  <c r="U19" i="10"/>
  <c r="U18" i="10"/>
  <c r="U78" i="11"/>
  <c r="U55" i="11"/>
  <c r="U80" i="10"/>
  <c r="W77" i="10"/>
  <c r="W76" i="10"/>
  <c r="W75" i="10"/>
  <c r="W74" i="10"/>
  <c r="W73" i="10"/>
  <c r="V74" i="10"/>
  <c r="V75" i="10"/>
  <c r="V76" i="10"/>
  <c r="V77" i="10"/>
  <c r="V73" i="10"/>
  <c r="U77" i="10"/>
  <c r="U76" i="10"/>
  <c r="U75" i="10"/>
  <c r="U74" i="10"/>
  <c r="U73" i="10"/>
  <c r="U65" i="10"/>
  <c r="U64" i="10"/>
  <c r="U63" i="10"/>
  <c r="U62" i="10"/>
  <c r="U61" i="10"/>
  <c r="U162" i="2" l="1"/>
  <c r="U38" i="2" l="1"/>
  <c r="U18" i="2"/>
  <c r="U31" i="2"/>
  <c r="U132" i="2"/>
  <c r="U8" i="2"/>
  <c r="U13" i="5"/>
  <c r="U15" i="5"/>
  <c r="U5" i="5" s="1"/>
  <c r="U12" i="5"/>
  <c r="U18" i="5"/>
  <c r="U44" i="5"/>
  <c r="U6" i="5"/>
  <c r="U36" i="5"/>
  <c r="U29" i="5"/>
  <c r="T29" i="5"/>
  <c r="U7" i="5"/>
  <c r="P38" i="2"/>
  <c r="R18" i="10"/>
  <c r="R19" i="10"/>
  <c r="Q18" i="10"/>
  <c r="Q19" i="10"/>
  <c r="P19" i="10"/>
  <c r="P18" i="10"/>
  <c r="P63" i="10"/>
  <c r="P76" i="10"/>
  <c r="P64" i="10"/>
  <c r="P62" i="10"/>
  <c r="P55" i="11"/>
  <c r="P162" i="2"/>
  <c r="P132" i="2"/>
  <c r="P170" i="2"/>
  <c r="P36" i="2"/>
  <c r="P48" i="2"/>
  <c r="P35" i="2" l="1"/>
  <c r="P115" i="2"/>
  <c r="P88" i="2"/>
  <c r="P87" i="2"/>
  <c r="P53" i="2"/>
  <c r="P65" i="2"/>
  <c r="P52" i="2"/>
  <c r="P31" i="2"/>
  <c r="P6" i="2"/>
  <c r="Q7" i="12"/>
  <c r="R7" i="12" s="1"/>
  <c r="Q8" i="12"/>
  <c r="R8" i="12" s="1"/>
  <c r="Q10" i="12"/>
  <c r="R10" i="12" s="1"/>
  <c r="Q11" i="12"/>
  <c r="R11" i="12" s="1"/>
  <c r="Q12" i="12"/>
  <c r="R12" i="12" s="1"/>
  <c r="Q13" i="12"/>
  <c r="R13" i="12" s="1"/>
  <c r="Q14" i="12"/>
  <c r="R14" i="12" s="1"/>
  <c r="Q6" i="12"/>
  <c r="R6" i="12" s="1"/>
  <c r="Q3" i="12"/>
  <c r="R3" i="12" s="1"/>
  <c r="Q4" i="12"/>
  <c r="R4" i="12" s="1"/>
  <c r="P49" i="9"/>
  <c r="P41" i="9"/>
  <c r="P37" i="9"/>
  <c r="P18" i="9" s="1"/>
  <c r="P17" i="9" s="1"/>
  <c r="P9" i="12"/>
  <c r="Q9" i="12" s="1"/>
  <c r="R9" i="12" s="1"/>
  <c r="P37" i="11"/>
  <c r="R44" i="11"/>
  <c r="Q44" i="11"/>
  <c r="P12" i="11"/>
  <c r="R46" i="11"/>
  <c r="Q46" i="11"/>
  <c r="R56" i="11"/>
  <c r="Q56" i="11"/>
  <c r="P77" i="10"/>
  <c r="P65" i="10"/>
  <c r="P74" i="10"/>
  <c r="P61" i="10"/>
  <c r="P73" i="10"/>
  <c r="P81" i="10"/>
  <c r="P80" i="10"/>
  <c r="P52" i="5" l="1"/>
  <c r="Q52" i="5" s="1"/>
  <c r="P49" i="5"/>
  <c r="Q49" i="5" s="1"/>
  <c r="M49" i="5"/>
  <c r="Q50" i="5"/>
  <c r="Q51" i="5"/>
  <c r="P12" i="5"/>
  <c r="R29" i="5"/>
  <c r="Q29" i="5"/>
  <c r="Q30" i="5"/>
  <c r="Q31" i="5"/>
  <c r="R31" i="5" s="1"/>
  <c r="P9" i="5"/>
  <c r="P36" i="5"/>
  <c r="P44" i="5" s="1"/>
  <c r="K47" i="5"/>
  <c r="J44" i="5"/>
  <c r="K44" i="5"/>
  <c r="O47" i="5"/>
  <c r="E44" i="5"/>
  <c r="O36" i="5"/>
  <c r="O44" i="5"/>
  <c r="O34" i="5"/>
  <c r="P15" i="5"/>
  <c r="P14" i="5"/>
  <c r="P13" i="5"/>
  <c r="P7" i="5"/>
  <c r="P6" i="5"/>
  <c r="O6" i="5"/>
  <c r="M18" i="10"/>
  <c r="M19" i="10"/>
  <c r="L18" i="10"/>
  <c r="L19" i="10"/>
  <c r="L8" i="10"/>
  <c r="K19" i="10"/>
  <c r="K18" i="10"/>
  <c r="K6" i="2"/>
  <c r="P5" i="5" l="1"/>
  <c r="K80" i="10"/>
  <c r="K72" i="10"/>
  <c r="K77" i="10"/>
  <c r="K76" i="10"/>
  <c r="K75" i="10"/>
  <c r="K74" i="10"/>
  <c r="K73" i="10"/>
  <c r="K60" i="10"/>
  <c r="K63" i="10"/>
  <c r="K62" i="10"/>
  <c r="K65" i="10"/>
  <c r="K64" i="10"/>
  <c r="K61" i="10"/>
  <c r="L12" i="12"/>
  <c r="M12" i="12" s="1"/>
  <c r="L9" i="12"/>
  <c r="M9" i="12" s="1"/>
  <c r="L8" i="12"/>
  <c r="M8" i="12" s="1"/>
  <c r="L3" i="12"/>
  <c r="M3" i="12" s="1"/>
  <c r="K49" i="9"/>
  <c r="K41" i="9"/>
  <c r="K37" i="9"/>
  <c r="K18" i="9" s="1"/>
  <c r="K17" i="9"/>
  <c r="K7" i="12"/>
  <c r="L7" i="12" s="1"/>
  <c r="M7" i="12" s="1"/>
  <c r="K4" i="12"/>
  <c r="L4" i="12" s="1"/>
  <c r="M4" i="12" s="1"/>
  <c r="C13" i="13"/>
  <c r="C26" i="13"/>
  <c r="B1" i="13"/>
  <c r="C95" i="13"/>
  <c r="K73" i="11"/>
  <c r="C114" i="13"/>
  <c r="K94" i="2"/>
  <c r="K89" i="2"/>
  <c r="K132" i="2"/>
  <c r="K162" i="2"/>
  <c r="K170" i="2"/>
  <c r="K146" i="2"/>
  <c r="K116" i="2" l="1"/>
  <c r="K115" i="2" s="1"/>
  <c r="K114" i="2" s="1"/>
  <c r="L114" i="2" s="1"/>
  <c r="K87" i="2"/>
  <c r="K60" i="2"/>
  <c r="K38" i="2"/>
  <c r="K16" i="2"/>
  <c r="K31" i="2"/>
  <c r="K14" i="2"/>
  <c r="K18" i="5"/>
  <c r="K36" i="5"/>
  <c r="K13" i="5"/>
  <c r="K15" i="5"/>
  <c r="L12" i="5"/>
  <c r="K12" i="5"/>
  <c r="K14" i="5"/>
  <c r="K29" i="5"/>
  <c r="K27" i="5" s="1"/>
  <c r="J27" i="5"/>
  <c r="K6" i="5"/>
  <c r="J6" i="5"/>
  <c r="F95" i="13"/>
  <c r="E95" i="13"/>
  <c r="D95" i="13"/>
  <c r="F37" i="9"/>
  <c r="F49" i="9"/>
  <c r="F18" i="9"/>
  <c r="F41" i="9"/>
  <c r="F60" i="11"/>
  <c r="F74" i="11"/>
  <c r="H56" i="11"/>
  <c r="G56" i="11"/>
  <c r="F37" i="11"/>
  <c r="F78" i="11"/>
  <c r="F27" i="11"/>
  <c r="F12" i="11"/>
  <c r="F80" i="10"/>
  <c r="F19" i="10"/>
  <c r="F18" i="10"/>
  <c r="F132" i="2"/>
  <c r="F170" i="2"/>
  <c r="F162" i="2"/>
  <c r="F16" i="9" l="1"/>
  <c r="F116" i="2"/>
  <c r="F115" i="2" s="1"/>
  <c r="F87" i="2"/>
  <c r="F38" i="2"/>
  <c r="F25" i="2"/>
  <c r="F31" i="2"/>
  <c r="F73" i="10"/>
  <c r="G18" i="10"/>
  <c r="H18" i="10" s="1"/>
  <c r="G19" i="10"/>
  <c r="H19" i="10" s="1"/>
  <c r="G17" i="10"/>
  <c r="F77" i="10"/>
  <c r="F76" i="10"/>
  <c r="F75" i="10"/>
  <c r="F74" i="10"/>
  <c r="F65" i="10"/>
  <c r="F64" i="10"/>
  <c r="F63" i="10"/>
  <c r="F62" i="10"/>
  <c r="F61" i="10"/>
  <c r="F16" i="5" l="1"/>
  <c r="F16" i="2"/>
  <c r="F6" i="2"/>
  <c r="F12" i="5"/>
  <c r="F44" i="5"/>
  <c r="D44" i="5"/>
  <c r="E40" i="5"/>
  <c r="F18" i="5"/>
  <c r="F29" i="5"/>
  <c r="F36" i="5"/>
  <c r="F6" i="5"/>
  <c r="E6" i="5"/>
  <c r="F7" i="5"/>
  <c r="E18" i="10"/>
  <c r="J18" i="10"/>
  <c r="D18" i="10"/>
  <c r="O18" i="10"/>
  <c r="O19" i="10"/>
  <c r="J19" i="10"/>
  <c r="E19" i="10"/>
  <c r="D19" i="10"/>
  <c r="F5" i="5" l="1"/>
  <c r="T67" i="11"/>
  <c r="T75" i="11"/>
  <c r="O12" i="11"/>
  <c r="O27" i="11"/>
  <c r="J13" i="11"/>
  <c r="J74" i="11"/>
  <c r="E74" i="11"/>
  <c r="E37" i="11"/>
  <c r="E67" i="11"/>
  <c r="T49" i="5"/>
  <c r="O52" i="5"/>
  <c r="O49" i="5"/>
  <c r="J49" i="5"/>
  <c r="E52" i="5"/>
  <c r="E49" i="5"/>
  <c r="T18" i="5"/>
  <c r="O18" i="5"/>
  <c r="J18" i="5"/>
  <c r="E18" i="5"/>
  <c r="D36" i="5"/>
  <c r="E5" i="5"/>
  <c r="G79" i="10" l="1"/>
  <c r="G84" i="10"/>
  <c r="T77" i="11"/>
  <c r="J67" i="11"/>
  <c r="T14" i="11"/>
  <c r="J14" i="11"/>
  <c r="E13" i="11"/>
  <c r="T12" i="11"/>
  <c r="J12" i="11"/>
  <c r="C172" i="2"/>
  <c r="C164" i="2"/>
  <c r="C170" i="2"/>
  <c r="C163" i="2"/>
  <c r="C154" i="2"/>
  <c r="C162" i="2"/>
  <c r="G19" i="12"/>
  <c r="H19" i="12" s="1"/>
  <c r="G18" i="12"/>
  <c r="H18" i="12" s="1"/>
  <c r="G16" i="12"/>
  <c r="H16" i="12" s="1"/>
  <c r="G14" i="12"/>
  <c r="H14" i="12" s="1"/>
  <c r="G13" i="12"/>
  <c r="H13" i="12" s="1"/>
  <c r="G12" i="12"/>
  <c r="H12" i="12" s="1"/>
  <c r="G11" i="12"/>
  <c r="H11" i="12" s="1"/>
  <c r="G10" i="12"/>
  <c r="H10" i="12" s="1"/>
  <c r="G9" i="12"/>
  <c r="H9" i="12" s="1"/>
  <c r="G8" i="12"/>
  <c r="H8" i="12" s="1"/>
  <c r="G7" i="12"/>
  <c r="H7" i="12" s="1"/>
  <c r="G6" i="12"/>
  <c r="H6" i="12" s="1"/>
  <c r="G4" i="12"/>
  <c r="H4" i="12" s="1"/>
  <c r="G3" i="12"/>
  <c r="H3" i="12" s="1"/>
  <c r="F5" i="12"/>
  <c r="F15" i="12" s="1"/>
  <c r="F17" i="12" s="1"/>
  <c r="F20" i="12" s="1"/>
  <c r="D29" i="5"/>
  <c r="T6" i="5"/>
  <c r="Q6" i="5"/>
  <c r="R6" i="5" s="1"/>
  <c r="J5" i="5"/>
  <c r="D32" i="5"/>
  <c r="T32" i="5"/>
  <c r="O32" i="5"/>
  <c r="J32" i="5"/>
  <c r="V18" i="5"/>
  <c r="W18" i="5" s="1"/>
  <c r="V54" i="5"/>
  <c r="W54" i="5" s="1"/>
  <c r="V53" i="5"/>
  <c r="W53" i="5" s="1"/>
  <c r="V51" i="5"/>
  <c r="W51" i="5" s="1"/>
  <c r="V50" i="5"/>
  <c r="W50" i="5" s="1"/>
  <c r="V49" i="5"/>
  <c r="W49" i="5" s="1"/>
  <c r="V48" i="5"/>
  <c r="W48" i="5" s="1"/>
  <c r="V46" i="5"/>
  <c r="W46" i="5" s="1"/>
  <c r="V45" i="5"/>
  <c r="W45" i="5" s="1"/>
  <c r="V43" i="5"/>
  <c r="W43" i="5" s="1"/>
  <c r="V42" i="5"/>
  <c r="W42" i="5" s="1"/>
  <c r="V41" i="5"/>
  <c r="W41" i="5" s="1"/>
  <c r="T40" i="5"/>
  <c r="V40" i="5" s="1"/>
  <c r="W40" i="5" s="1"/>
  <c r="V39" i="5"/>
  <c r="W39" i="5" s="1"/>
  <c r="V38" i="5"/>
  <c r="W38" i="5" s="1"/>
  <c r="V37" i="5"/>
  <c r="W37" i="5" s="1"/>
  <c r="T36" i="5"/>
  <c r="T44" i="5" s="1"/>
  <c r="V44" i="5" s="1"/>
  <c r="W44" i="5" s="1"/>
  <c r="W35" i="5"/>
  <c r="W33" i="5"/>
  <c r="V33" i="5"/>
  <c r="V32" i="5"/>
  <c r="W32" i="5" s="1"/>
  <c r="V31" i="5"/>
  <c r="W31" i="5" s="1"/>
  <c r="V30" i="5"/>
  <c r="W30" i="5" s="1"/>
  <c r="X29" i="5"/>
  <c r="T27" i="5"/>
  <c r="V28" i="5"/>
  <c r="X27" i="5"/>
  <c r="U27" i="5"/>
  <c r="U34" i="5" s="1"/>
  <c r="V26" i="5"/>
  <c r="W26" i="5" s="1"/>
  <c r="V25" i="5"/>
  <c r="W25" i="5" s="1"/>
  <c r="V24" i="5"/>
  <c r="W24" i="5" s="1"/>
  <c r="V23" i="5"/>
  <c r="W23" i="5" s="1"/>
  <c r="V22" i="5"/>
  <c r="W22" i="5" s="1"/>
  <c r="V21" i="5"/>
  <c r="T21" i="5"/>
  <c r="W20" i="5"/>
  <c r="V17" i="5"/>
  <c r="W17" i="5" s="1"/>
  <c r="U16" i="5"/>
  <c r="U19" i="5" s="1"/>
  <c r="U47" i="5" s="1"/>
  <c r="V15" i="5"/>
  <c r="W15" i="5" s="1"/>
  <c r="V14" i="5"/>
  <c r="W14" i="5" s="1"/>
  <c r="V13" i="5"/>
  <c r="W13" i="5" s="1"/>
  <c r="V12" i="5"/>
  <c r="W12" i="5" s="1"/>
  <c r="V11" i="5"/>
  <c r="W11" i="5" s="1"/>
  <c r="V10" i="5"/>
  <c r="W10" i="5" s="1"/>
  <c r="V9" i="5"/>
  <c r="W9" i="5" s="1"/>
  <c r="V8" i="5"/>
  <c r="W8" i="5" s="1"/>
  <c r="V3" i="5"/>
  <c r="W3" i="5" s="1"/>
  <c r="Q54" i="5"/>
  <c r="R54" i="5" s="1"/>
  <c r="Q53" i="5"/>
  <c r="R53" i="5" s="1"/>
  <c r="R52" i="5"/>
  <c r="R51" i="5"/>
  <c r="R50" i="5"/>
  <c r="R49" i="5"/>
  <c r="Q48" i="5"/>
  <c r="R48" i="5" s="1"/>
  <c r="Q46" i="5"/>
  <c r="R46" i="5" s="1"/>
  <c r="Q45" i="5"/>
  <c r="R45" i="5" s="1"/>
  <c r="Q43" i="5"/>
  <c r="R43" i="5" s="1"/>
  <c r="Q42" i="5"/>
  <c r="R42" i="5" s="1"/>
  <c r="Q41" i="5"/>
  <c r="R41" i="5" s="1"/>
  <c r="O40" i="5"/>
  <c r="Q40" i="5" s="1"/>
  <c r="R40" i="5" s="1"/>
  <c r="Q39" i="5"/>
  <c r="R39" i="5" s="1"/>
  <c r="Q38" i="5"/>
  <c r="R38" i="5" s="1"/>
  <c r="Q37" i="5"/>
  <c r="R37" i="5" s="1"/>
  <c r="Q44" i="5"/>
  <c r="R44" i="5" s="1"/>
  <c r="R35" i="5"/>
  <c r="Q33" i="5"/>
  <c r="R33" i="5" s="1"/>
  <c r="Q32" i="5"/>
  <c r="R32" i="5" s="1"/>
  <c r="R30" i="5"/>
  <c r="S27" i="5"/>
  <c r="S34" i="5" s="1"/>
  <c r="O29" i="5"/>
  <c r="O27" i="5" s="1"/>
  <c r="Q28" i="5"/>
  <c r="Q27" i="5" s="1"/>
  <c r="P27" i="5"/>
  <c r="P34" i="5" s="1"/>
  <c r="Q26" i="5"/>
  <c r="R26" i="5" s="1"/>
  <c r="Q25" i="5"/>
  <c r="R25" i="5" s="1"/>
  <c r="Q24" i="5"/>
  <c r="R24" i="5" s="1"/>
  <c r="Q23" i="5"/>
  <c r="R23" i="5" s="1"/>
  <c r="Q22" i="5"/>
  <c r="R22" i="5" s="1"/>
  <c r="Q21" i="5"/>
  <c r="O21" i="5"/>
  <c r="R20" i="5"/>
  <c r="Q18" i="5"/>
  <c r="R18" i="5" s="1"/>
  <c r="Q17" i="5"/>
  <c r="R17" i="5" s="1"/>
  <c r="P16" i="5"/>
  <c r="O16" i="5"/>
  <c r="Q15" i="5"/>
  <c r="R15" i="5" s="1"/>
  <c r="Q14" i="5"/>
  <c r="R14" i="5" s="1"/>
  <c r="Q13" i="5"/>
  <c r="R13" i="5" s="1"/>
  <c r="Q12" i="5"/>
  <c r="R12" i="5" s="1"/>
  <c r="Q11" i="5"/>
  <c r="R11" i="5" s="1"/>
  <c r="Q10" i="5"/>
  <c r="R10" i="5" s="1"/>
  <c r="Q9" i="5"/>
  <c r="R9" i="5" s="1"/>
  <c r="Q8" i="5"/>
  <c r="R8" i="5" s="1"/>
  <c r="Q7" i="5"/>
  <c r="R7" i="5" s="1"/>
  <c r="Q3" i="5"/>
  <c r="R3" i="5" s="1"/>
  <c r="L54" i="5"/>
  <c r="M54" i="5" s="1"/>
  <c r="M53" i="5"/>
  <c r="L53" i="5"/>
  <c r="L51" i="5"/>
  <c r="M51" i="5" s="1"/>
  <c r="L50" i="5"/>
  <c r="M50" i="5" s="1"/>
  <c r="L49" i="5"/>
  <c r="L48" i="5"/>
  <c r="M48" i="5" s="1"/>
  <c r="M46" i="5"/>
  <c r="L46" i="5"/>
  <c r="L45" i="5"/>
  <c r="M45" i="5" s="1"/>
  <c r="L43" i="5"/>
  <c r="M43" i="5" s="1"/>
  <c r="L42" i="5"/>
  <c r="M42" i="5" s="1"/>
  <c r="L41" i="5"/>
  <c r="M41" i="5" s="1"/>
  <c r="J40" i="5"/>
  <c r="L40" i="5" s="1"/>
  <c r="M40" i="5" s="1"/>
  <c r="L39" i="5"/>
  <c r="M39" i="5" s="1"/>
  <c r="L38" i="5"/>
  <c r="M38" i="5" s="1"/>
  <c r="L37" i="5"/>
  <c r="M37" i="5" s="1"/>
  <c r="J36" i="5"/>
  <c r="L36" i="5" s="1"/>
  <c r="M36" i="5" s="1"/>
  <c r="M35" i="5"/>
  <c r="K34" i="5"/>
  <c r="L33" i="5"/>
  <c r="M33" i="5" s="1"/>
  <c r="L32" i="5"/>
  <c r="M32" i="5" s="1"/>
  <c r="L31" i="5"/>
  <c r="M31" i="5" s="1"/>
  <c r="L30" i="5"/>
  <c r="M30" i="5" s="1"/>
  <c r="J29" i="5"/>
  <c r="L28" i="5"/>
  <c r="N27" i="5"/>
  <c r="N34" i="5" s="1"/>
  <c r="L26" i="5"/>
  <c r="M26" i="5" s="1"/>
  <c r="L25" i="5"/>
  <c r="M25" i="5" s="1"/>
  <c r="L24" i="5"/>
  <c r="M24" i="5" s="1"/>
  <c r="L23" i="5"/>
  <c r="M23" i="5" s="1"/>
  <c r="L22" i="5"/>
  <c r="M22" i="5" s="1"/>
  <c r="L21" i="5"/>
  <c r="J21" i="5"/>
  <c r="M20" i="5"/>
  <c r="L18" i="5"/>
  <c r="M18" i="5" s="1"/>
  <c r="L17" i="5"/>
  <c r="M17" i="5" s="1"/>
  <c r="K16" i="5"/>
  <c r="J16" i="5"/>
  <c r="L15" i="5"/>
  <c r="M15" i="5" s="1"/>
  <c r="L14" i="5"/>
  <c r="M14" i="5" s="1"/>
  <c r="L13" i="5"/>
  <c r="M13" i="5" s="1"/>
  <c r="M12" i="5"/>
  <c r="L11" i="5"/>
  <c r="M11" i="5" s="1"/>
  <c r="L10" i="5"/>
  <c r="M10" i="5" s="1"/>
  <c r="L9" i="5"/>
  <c r="M9" i="5" s="1"/>
  <c r="L8" i="5"/>
  <c r="M8" i="5" s="1"/>
  <c r="L7" i="5"/>
  <c r="M7" i="5" s="1"/>
  <c r="K5" i="5"/>
  <c r="L3" i="5"/>
  <c r="M3" i="5" s="1"/>
  <c r="C5" i="5"/>
  <c r="C52" i="5"/>
  <c r="C40" i="5"/>
  <c r="C36" i="5"/>
  <c r="C44" i="5" s="1"/>
  <c r="C31" i="5"/>
  <c r="C29" i="5"/>
  <c r="C27" i="5"/>
  <c r="C21" i="5"/>
  <c r="C34" i="5" s="1"/>
  <c r="C17" i="5"/>
  <c r="C18" i="5" s="1"/>
  <c r="C16" i="5" s="1"/>
  <c r="C12" i="5"/>
  <c r="C9" i="5"/>
  <c r="C6" i="5" s="1"/>
  <c r="C19" i="5" s="1"/>
  <c r="C47" i="5" s="1"/>
  <c r="J19" i="5" l="1"/>
  <c r="L6" i="5"/>
  <c r="M6" i="5" s="1"/>
  <c r="R27" i="5"/>
  <c r="L29" i="5"/>
  <c r="L27" i="5" s="1"/>
  <c r="V29" i="5"/>
  <c r="W29" i="5" s="1"/>
  <c r="V27" i="5"/>
  <c r="M29" i="5"/>
  <c r="T16" i="5"/>
  <c r="V16" i="5" s="1"/>
  <c r="W16" i="5" s="1"/>
  <c r="Q16" i="5"/>
  <c r="R16" i="5" s="1"/>
  <c r="L16" i="5"/>
  <c r="M16" i="5" s="1"/>
  <c r="O5" i="5"/>
  <c r="O19" i="5" s="1"/>
  <c r="L5" i="5"/>
  <c r="M5" i="5" s="1"/>
  <c r="T34" i="5"/>
  <c r="V36" i="5"/>
  <c r="W36" i="5" s="1"/>
  <c r="W21" i="5"/>
  <c r="W28" i="5"/>
  <c r="Q34" i="5"/>
  <c r="R21" i="5"/>
  <c r="R28" i="5"/>
  <c r="Q36" i="5"/>
  <c r="R36" i="5" s="1"/>
  <c r="P19" i="5"/>
  <c r="P47" i="5" s="1"/>
  <c r="J34" i="5"/>
  <c r="M21" i="5"/>
  <c r="L44" i="5"/>
  <c r="M44" i="5" s="1"/>
  <c r="K19" i="5"/>
  <c r="M28" i="5"/>
  <c r="W27" i="5" l="1"/>
  <c r="V34" i="5"/>
  <c r="R34" i="5"/>
  <c r="M27" i="5"/>
  <c r="L34" i="5"/>
  <c r="M34" i="5" s="1"/>
  <c r="J47" i="5"/>
  <c r="Q5" i="5"/>
  <c r="R5" i="5" s="1"/>
  <c r="W34" i="5"/>
  <c r="Q19" i="5"/>
  <c r="R19" i="5" s="1"/>
  <c r="L19" i="5"/>
  <c r="M19" i="5" s="1"/>
  <c r="J52" i="5" l="1"/>
  <c r="L52" i="5" s="1"/>
  <c r="M52" i="5" s="1"/>
  <c r="L47" i="5"/>
  <c r="M47" i="5" s="1"/>
  <c r="Q47" i="5"/>
  <c r="R47" i="5" s="1"/>
  <c r="C38" i="2" l="1"/>
  <c r="N63" i="2"/>
  <c r="K180" i="2"/>
  <c r="K164" i="2"/>
  <c r="K154" i="2"/>
  <c r="K140" i="2"/>
  <c r="K130" i="2"/>
  <c r="K129" i="2" s="1"/>
  <c r="K119" i="2"/>
  <c r="K109" i="2"/>
  <c r="K104" i="2"/>
  <c r="K96" i="2"/>
  <c r="K90" i="2"/>
  <c r="K82" i="2"/>
  <c r="K74" i="2"/>
  <c r="K68" i="2"/>
  <c r="K63" i="2"/>
  <c r="K59" i="2" s="1"/>
  <c r="K52" i="2"/>
  <c r="K50" i="2" s="1"/>
  <c r="K39" i="2"/>
  <c r="K35" i="2"/>
  <c r="K22" i="2"/>
  <c r="K19" i="2"/>
  <c r="K13" i="2"/>
  <c r="K10" i="2"/>
  <c r="K5" i="2"/>
  <c r="F35" i="2"/>
  <c r="F60" i="2"/>
  <c r="L25" i="2"/>
  <c r="M25" i="2" s="1"/>
  <c r="L72" i="10"/>
  <c r="L7" i="10"/>
  <c r="L60" i="10"/>
  <c r="L59" i="10"/>
  <c r="K66" i="2" l="1"/>
  <c r="K34" i="2"/>
  <c r="K33" i="2" s="1"/>
  <c r="K4" i="2"/>
  <c r="K103" i="2"/>
  <c r="G72" i="10"/>
  <c r="G60" i="10"/>
  <c r="G59" i="10"/>
  <c r="H59" i="10"/>
  <c r="F104" i="2"/>
  <c r="C109" i="13"/>
  <c r="K58" i="2" l="1"/>
  <c r="K32" i="2" s="1"/>
  <c r="K144" i="2" s="1"/>
  <c r="K172" i="2" s="1"/>
  <c r="L4" i="2"/>
  <c r="K3" i="2"/>
  <c r="K163" i="2" s="1"/>
  <c r="H20" i="5"/>
  <c r="H21" i="5"/>
  <c r="H22" i="5"/>
  <c r="H23" i="5"/>
  <c r="H24" i="5"/>
  <c r="H25" i="5"/>
  <c r="H26" i="5"/>
  <c r="H28" i="5"/>
  <c r="F19" i="5"/>
  <c r="K145" i="2" l="1"/>
  <c r="K153" i="2" s="1"/>
  <c r="K173" i="2" s="1"/>
  <c r="L61" i="2"/>
  <c r="M61" i="2" s="1"/>
  <c r="L62" i="2"/>
  <c r="M62" i="2" s="1"/>
  <c r="L64" i="2"/>
  <c r="M64" i="2" s="1"/>
  <c r="L65" i="2"/>
  <c r="M65" i="2" s="1"/>
  <c r="V91" i="10" l="1"/>
  <c r="W91" i="10" s="1"/>
  <c r="V89" i="10"/>
  <c r="W89" i="10" s="1"/>
  <c r="Q89" i="10"/>
  <c r="R89" i="10" s="1"/>
  <c r="L89" i="10"/>
  <c r="M89" i="10" s="1"/>
  <c r="G89" i="10"/>
  <c r="H89" i="10" s="1"/>
  <c r="V88" i="10"/>
  <c r="W88" i="10" s="1"/>
  <c r="Q88" i="10"/>
  <c r="R88" i="10" s="1"/>
  <c r="L88" i="10"/>
  <c r="M88" i="10" s="1"/>
  <c r="G88" i="10"/>
  <c r="H88" i="10" s="1"/>
  <c r="V87" i="10"/>
  <c r="W87" i="10" s="1"/>
  <c r="Q87" i="10"/>
  <c r="R87" i="10" s="1"/>
  <c r="L87" i="10"/>
  <c r="M87" i="10" s="1"/>
  <c r="G87" i="10"/>
  <c r="H87" i="10" s="1"/>
  <c r="V86" i="10"/>
  <c r="W86" i="10" s="1"/>
  <c r="Q86" i="10"/>
  <c r="R86" i="10" s="1"/>
  <c r="L86" i="10"/>
  <c r="M86" i="10" s="1"/>
  <c r="G86" i="10"/>
  <c r="H86" i="10" s="1"/>
  <c r="V85" i="10"/>
  <c r="W85" i="10" s="1"/>
  <c r="Q85" i="10"/>
  <c r="R85" i="10" s="1"/>
  <c r="L85" i="10"/>
  <c r="M85" i="10" s="1"/>
  <c r="H85" i="10"/>
  <c r="V84" i="10"/>
  <c r="W84" i="10" s="1"/>
  <c r="Q84" i="10"/>
  <c r="R84" i="10" s="1"/>
  <c r="L84" i="10"/>
  <c r="M84" i="10" s="1"/>
  <c r="H84" i="10"/>
  <c r="V82" i="10"/>
  <c r="W82" i="10" s="1"/>
  <c r="Q82" i="10"/>
  <c r="R82" i="10" s="1"/>
  <c r="L82" i="10"/>
  <c r="M82" i="10" s="1"/>
  <c r="G82" i="10"/>
  <c r="H82" i="10" s="1"/>
  <c r="V81" i="10"/>
  <c r="W81" i="10" s="1"/>
  <c r="Q81" i="10"/>
  <c r="R81" i="10" s="1"/>
  <c r="L81" i="10"/>
  <c r="M81" i="10" s="1"/>
  <c r="G81" i="10"/>
  <c r="H81" i="10" s="1"/>
  <c r="V80" i="10"/>
  <c r="W80" i="10" s="1"/>
  <c r="Q80" i="10"/>
  <c r="R80" i="10" s="1"/>
  <c r="L80" i="10"/>
  <c r="M80" i="10" s="1"/>
  <c r="G80" i="10"/>
  <c r="H80" i="10" s="1"/>
  <c r="V79" i="10"/>
  <c r="W79" i="10" s="1"/>
  <c r="Q79" i="10"/>
  <c r="R79" i="10" s="1"/>
  <c r="L79" i="10"/>
  <c r="M79" i="10" s="1"/>
  <c r="H79" i="10"/>
  <c r="Q77" i="10"/>
  <c r="R77" i="10" s="1"/>
  <c r="L77" i="10"/>
  <c r="M77" i="10" s="1"/>
  <c r="G77" i="10"/>
  <c r="H77" i="10" s="1"/>
  <c r="Q76" i="10"/>
  <c r="R76" i="10" s="1"/>
  <c r="L76" i="10"/>
  <c r="M76" i="10" s="1"/>
  <c r="G76" i="10"/>
  <c r="H76" i="10" s="1"/>
  <c r="Q75" i="10"/>
  <c r="R75" i="10" s="1"/>
  <c r="L75" i="10"/>
  <c r="M75" i="10" s="1"/>
  <c r="G75" i="10"/>
  <c r="H75" i="10" s="1"/>
  <c r="Q74" i="10"/>
  <c r="R74" i="10" s="1"/>
  <c r="L74" i="10"/>
  <c r="M74" i="10" s="1"/>
  <c r="G74" i="10"/>
  <c r="H74" i="10" s="1"/>
  <c r="Q73" i="10"/>
  <c r="R73" i="10" s="1"/>
  <c r="L73" i="10"/>
  <c r="M73" i="10" s="1"/>
  <c r="G73" i="10"/>
  <c r="H73" i="10" s="1"/>
  <c r="V72" i="10"/>
  <c r="W72" i="10" s="1"/>
  <c r="Q72" i="10"/>
  <c r="R72" i="10" s="1"/>
  <c r="M72" i="10"/>
  <c r="H72" i="10"/>
  <c r="V71" i="10"/>
  <c r="W71" i="10" s="1"/>
  <c r="Q71" i="10"/>
  <c r="R71" i="10" s="1"/>
  <c r="L71" i="10"/>
  <c r="M71" i="10" s="1"/>
  <c r="G71" i="10"/>
  <c r="H71" i="10" s="1"/>
  <c r="V70" i="10"/>
  <c r="W70" i="10" s="1"/>
  <c r="Q70" i="10"/>
  <c r="R70" i="10" s="1"/>
  <c r="L70" i="10"/>
  <c r="M70" i="10" s="1"/>
  <c r="G70" i="10"/>
  <c r="H70" i="10" s="1"/>
  <c r="V69" i="10"/>
  <c r="W69" i="10" s="1"/>
  <c r="Q69" i="10"/>
  <c r="R69" i="10" s="1"/>
  <c r="L69" i="10"/>
  <c r="M69" i="10" s="1"/>
  <c r="G69" i="10"/>
  <c r="H69" i="10" s="1"/>
  <c r="V68" i="10"/>
  <c r="W68" i="10" s="1"/>
  <c r="Q68" i="10"/>
  <c r="R68" i="10" s="1"/>
  <c r="L68" i="10"/>
  <c r="M68" i="10" s="1"/>
  <c r="G68" i="10"/>
  <c r="H68" i="10" s="1"/>
  <c r="V67" i="10"/>
  <c r="W67" i="10" s="1"/>
  <c r="Q67" i="10"/>
  <c r="R67" i="10" s="1"/>
  <c r="L67" i="10"/>
  <c r="M67" i="10" s="1"/>
  <c r="G67" i="10"/>
  <c r="H67" i="10" s="1"/>
  <c r="V66" i="10"/>
  <c r="W66" i="10" s="1"/>
  <c r="Q66" i="10"/>
  <c r="R66" i="10" s="1"/>
  <c r="L66" i="10"/>
  <c r="M66" i="10" s="1"/>
  <c r="G66" i="10"/>
  <c r="H66" i="10" s="1"/>
  <c r="V65" i="10"/>
  <c r="W65" i="10" s="1"/>
  <c r="Q65" i="10"/>
  <c r="R65" i="10" s="1"/>
  <c r="L65" i="10"/>
  <c r="M65" i="10" s="1"/>
  <c r="G65" i="10"/>
  <c r="H65" i="10" s="1"/>
  <c r="V64" i="10"/>
  <c r="W64" i="10" s="1"/>
  <c r="Q64" i="10"/>
  <c r="R64" i="10" s="1"/>
  <c r="L64" i="10"/>
  <c r="M64" i="10" s="1"/>
  <c r="G64" i="10"/>
  <c r="H64" i="10" s="1"/>
  <c r="V63" i="10"/>
  <c r="W63" i="10" s="1"/>
  <c r="Q63" i="10"/>
  <c r="R63" i="10" s="1"/>
  <c r="L63" i="10"/>
  <c r="M63" i="10" s="1"/>
  <c r="G63" i="10"/>
  <c r="H63" i="10" s="1"/>
  <c r="V62" i="10"/>
  <c r="W62" i="10" s="1"/>
  <c r="Q62" i="10"/>
  <c r="R62" i="10" s="1"/>
  <c r="L62" i="10"/>
  <c r="M62" i="10" s="1"/>
  <c r="G62" i="10"/>
  <c r="H62" i="10" s="1"/>
  <c r="V61" i="10"/>
  <c r="W61" i="10" s="1"/>
  <c r="Q61" i="10"/>
  <c r="R61" i="10" s="1"/>
  <c r="L61" i="10"/>
  <c r="M61" i="10" s="1"/>
  <c r="G61" i="10"/>
  <c r="H61" i="10" s="1"/>
  <c r="V60" i="10"/>
  <c r="W60" i="10" s="1"/>
  <c r="Q60" i="10"/>
  <c r="R60" i="10" s="1"/>
  <c r="M60" i="10"/>
  <c r="H60" i="10"/>
  <c r="V59" i="10"/>
  <c r="W59" i="10" s="1"/>
  <c r="Q59" i="10"/>
  <c r="R59" i="10" s="1"/>
  <c r="M59" i="10"/>
  <c r="V58" i="10"/>
  <c r="W58" i="10" s="1"/>
  <c r="Q58" i="10"/>
  <c r="R58" i="10" s="1"/>
  <c r="L58" i="10"/>
  <c r="M58" i="10" s="1"/>
  <c r="G58" i="10"/>
  <c r="H58" i="10" s="1"/>
  <c r="V57" i="10"/>
  <c r="W57" i="10" s="1"/>
  <c r="Q57" i="10"/>
  <c r="R57" i="10" s="1"/>
  <c r="L57" i="10"/>
  <c r="M57" i="10" s="1"/>
  <c r="G57" i="10"/>
  <c r="H57" i="10" s="1"/>
  <c r="V56" i="10"/>
  <c r="W56" i="10" s="1"/>
  <c r="Q56" i="10"/>
  <c r="R56" i="10" s="1"/>
  <c r="L56" i="10"/>
  <c r="M56" i="10" s="1"/>
  <c r="G56" i="10"/>
  <c r="H56" i="10" s="1"/>
  <c r="V55" i="10"/>
  <c r="W55" i="10" s="1"/>
  <c r="Q55" i="10"/>
  <c r="R55" i="10" s="1"/>
  <c r="L55" i="10"/>
  <c r="M55" i="10" s="1"/>
  <c r="G55" i="10"/>
  <c r="H55" i="10" s="1"/>
  <c r="V54" i="10"/>
  <c r="W54" i="10" s="1"/>
  <c r="Q54" i="10"/>
  <c r="R54" i="10" s="1"/>
  <c r="L54" i="10"/>
  <c r="M54" i="10" s="1"/>
  <c r="G54" i="10"/>
  <c r="H54" i="10" s="1"/>
  <c r="V52" i="10"/>
  <c r="W52" i="10" s="1"/>
  <c r="Q52" i="10"/>
  <c r="R52" i="10" s="1"/>
  <c r="L52" i="10"/>
  <c r="M52" i="10" s="1"/>
  <c r="G52" i="10"/>
  <c r="H52" i="10" s="1"/>
  <c r="V51" i="10"/>
  <c r="W51" i="10" s="1"/>
  <c r="Q51" i="10"/>
  <c r="R51" i="10" s="1"/>
  <c r="L51" i="10"/>
  <c r="M51" i="10" s="1"/>
  <c r="G51" i="10"/>
  <c r="H51" i="10" s="1"/>
  <c r="V50" i="10"/>
  <c r="W50" i="10" s="1"/>
  <c r="Q50" i="10"/>
  <c r="R50" i="10" s="1"/>
  <c r="L50" i="10"/>
  <c r="M50" i="10" s="1"/>
  <c r="G50" i="10"/>
  <c r="H50" i="10" s="1"/>
  <c r="V49" i="10"/>
  <c r="W49" i="10" s="1"/>
  <c r="R49" i="10"/>
  <c r="Q49" i="10"/>
  <c r="L49" i="10"/>
  <c r="M49" i="10" s="1"/>
  <c r="G49" i="10"/>
  <c r="H49" i="10" s="1"/>
  <c r="V48" i="10"/>
  <c r="W48" i="10" s="1"/>
  <c r="Q48" i="10"/>
  <c r="R48" i="10" s="1"/>
  <c r="L48" i="10"/>
  <c r="M48" i="10" s="1"/>
  <c r="G48" i="10"/>
  <c r="H48" i="10" s="1"/>
  <c r="V46" i="10"/>
  <c r="W46" i="10" s="1"/>
  <c r="Q46" i="10"/>
  <c r="R46" i="10" s="1"/>
  <c r="L46" i="10"/>
  <c r="M46" i="10" s="1"/>
  <c r="G46" i="10"/>
  <c r="H46" i="10" s="1"/>
  <c r="V45" i="10"/>
  <c r="W45" i="10" s="1"/>
  <c r="Q45" i="10"/>
  <c r="R45" i="10" s="1"/>
  <c r="L45" i="10"/>
  <c r="M45" i="10" s="1"/>
  <c r="G45" i="10"/>
  <c r="H45" i="10" s="1"/>
  <c r="V44" i="10"/>
  <c r="W44" i="10" s="1"/>
  <c r="Q44" i="10"/>
  <c r="R44" i="10" s="1"/>
  <c r="L44" i="10"/>
  <c r="M44" i="10" s="1"/>
  <c r="H44" i="10"/>
  <c r="G44" i="10"/>
  <c r="V43" i="10"/>
  <c r="W43" i="10" s="1"/>
  <c r="Q43" i="10"/>
  <c r="R43" i="10" s="1"/>
  <c r="L43" i="10"/>
  <c r="M43" i="10" s="1"/>
  <c r="G43" i="10"/>
  <c r="H43" i="10" s="1"/>
  <c r="V42" i="10"/>
  <c r="W42" i="10" s="1"/>
  <c r="Q42" i="10"/>
  <c r="R42" i="10" s="1"/>
  <c r="L42" i="10"/>
  <c r="M42" i="10" s="1"/>
  <c r="G42" i="10"/>
  <c r="H42" i="10" s="1"/>
  <c r="V40" i="10"/>
  <c r="W40" i="10" s="1"/>
  <c r="Q40" i="10"/>
  <c r="R40" i="10" s="1"/>
  <c r="L40" i="10"/>
  <c r="M40" i="10" s="1"/>
  <c r="G40" i="10"/>
  <c r="H40" i="10" s="1"/>
  <c r="V39" i="10"/>
  <c r="W39" i="10" s="1"/>
  <c r="Q39" i="10"/>
  <c r="R39" i="10" s="1"/>
  <c r="L39" i="10"/>
  <c r="M39" i="10" s="1"/>
  <c r="G39" i="10"/>
  <c r="H39" i="10" s="1"/>
  <c r="V38" i="10"/>
  <c r="W38" i="10" s="1"/>
  <c r="Q38" i="10"/>
  <c r="R38" i="10" s="1"/>
  <c r="L38" i="10"/>
  <c r="M38" i="10" s="1"/>
  <c r="G38" i="10"/>
  <c r="H38" i="10" s="1"/>
  <c r="V37" i="10"/>
  <c r="W37" i="10" s="1"/>
  <c r="Q37" i="10"/>
  <c r="R37" i="10" s="1"/>
  <c r="L37" i="10"/>
  <c r="M37" i="10" s="1"/>
  <c r="G37" i="10"/>
  <c r="H37" i="10" s="1"/>
  <c r="V36" i="10"/>
  <c r="W36" i="10" s="1"/>
  <c r="Q36" i="10"/>
  <c r="R36" i="10" s="1"/>
  <c r="L36" i="10"/>
  <c r="M36" i="10" s="1"/>
  <c r="G36" i="10"/>
  <c r="H36" i="10" s="1"/>
  <c r="V35" i="10"/>
  <c r="W35" i="10" s="1"/>
  <c r="Q35" i="10"/>
  <c r="R35" i="10" s="1"/>
  <c r="L35" i="10"/>
  <c r="M35" i="10" s="1"/>
  <c r="G35" i="10"/>
  <c r="H35" i="10" s="1"/>
  <c r="V34" i="10"/>
  <c r="W34" i="10" s="1"/>
  <c r="Q34" i="10"/>
  <c r="R34" i="10" s="1"/>
  <c r="L34" i="10"/>
  <c r="M34" i="10" s="1"/>
  <c r="G34" i="10"/>
  <c r="H34" i="10" s="1"/>
  <c r="V33" i="10"/>
  <c r="W33" i="10" s="1"/>
  <c r="Q33" i="10"/>
  <c r="R33" i="10" s="1"/>
  <c r="L33" i="10"/>
  <c r="M33" i="10" s="1"/>
  <c r="G33" i="10"/>
  <c r="H33" i="10" s="1"/>
  <c r="V32" i="10"/>
  <c r="W32" i="10" s="1"/>
  <c r="Q32" i="10"/>
  <c r="R32" i="10" s="1"/>
  <c r="L32" i="10"/>
  <c r="M32" i="10" s="1"/>
  <c r="G32" i="10"/>
  <c r="H32" i="10" s="1"/>
  <c r="V30" i="10"/>
  <c r="W30" i="10" s="1"/>
  <c r="Q30" i="10"/>
  <c r="R30" i="10" s="1"/>
  <c r="L30" i="10"/>
  <c r="M30" i="10" s="1"/>
  <c r="G30" i="10"/>
  <c r="H30" i="10" s="1"/>
  <c r="V29" i="10"/>
  <c r="W29" i="10" s="1"/>
  <c r="Q29" i="10"/>
  <c r="R29" i="10" s="1"/>
  <c r="L29" i="10"/>
  <c r="M29" i="10" s="1"/>
  <c r="G29" i="10"/>
  <c r="H29" i="10" s="1"/>
  <c r="V28" i="10"/>
  <c r="W28" i="10" s="1"/>
  <c r="Q28" i="10"/>
  <c r="R28" i="10" s="1"/>
  <c r="L28" i="10"/>
  <c r="M28" i="10" s="1"/>
  <c r="G28" i="10"/>
  <c r="H28" i="10" s="1"/>
  <c r="V27" i="10"/>
  <c r="W27" i="10" s="1"/>
  <c r="Q27" i="10"/>
  <c r="R27" i="10" s="1"/>
  <c r="L27" i="10"/>
  <c r="M27" i="10" s="1"/>
  <c r="G27" i="10"/>
  <c r="H27" i="10" s="1"/>
  <c r="V26" i="10"/>
  <c r="W26" i="10" s="1"/>
  <c r="Q26" i="10"/>
  <c r="R26" i="10" s="1"/>
  <c r="L26" i="10"/>
  <c r="M26" i="10" s="1"/>
  <c r="G26" i="10"/>
  <c r="H26" i="10" s="1"/>
  <c r="V25" i="10"/>
  <c r="W25" i="10" s="1"/>
  <c r="Q25" i="10"/>
  <c r="R25" i="10" s="1"/>
  <c r="L25" i="10"/>
  <c r="M25" i="10" s="1"/>
  <c r="G25" i="10"/>
  <c r="H25" i="10" s="1"/>
  <c r="V24" i="10"/>
  <c r="W24" i="10" s="1"/>
  <c r="Q24" i="10"/>
  <c r="R24" i="10" s="1"/>
  <c r="L24" i="10"/>
  <c r="M24" i="10" s="1"/>
  <c r="G24" i="10"/>
  <c r="H24" i="10" s="1"/>
  <c r="V23" i="10"/>
  <c r="W23" i="10" s="1"/>
  <c r="Q23" i="10"/>
  <c r="R23" i="10" s="1"/>
  <c r="L23" i="10"/>
  <c r="M23" i="10" s="1"/>
  <c r="G23" i="10"/>
  <c r="H23" i="10" s="1"/>
  <c r="V22" i="10"/>
  <c r="W22" i="10" s="1"/>
  <c r="Q22" i="10"/>
  <c r="R22" i="10" s="1"/>
  <c r="L22" i="10"/>
  <c r="M22" i="10" s="1"/>
  <c r="G22" i="10"/>
  <c r="H22" i="10" s="1"/>
  <c r="V21" i="10"/>
  <c r="W21" i="10" s="1"/>
  <c r="Q21" i="10"/>
  <c r="R21" i="10" s="1"/>
  <c r="L21" i="10"/>
  <c r="M21" i="10" s="1"/>
  <c r="G21" i="10"/>
  <c r="H21" i="10" s="1"/>
  <c r="V20" i="10"/>
  <c r="W20" i="10" s="1"/>
  <c r="Q20" i="10"/>
  <c r="R20" i="10" s="1"/>
  <c r="L20" i="10"/>
  <c r="M20" i="10" s="1"/>
  <c r="G20" i="10"/>
  <c r="H20" i="10" s="1"/>
  <c r="V19" i="10"/>
  <c r="W19" i="10" s="1"/>
  <c r="V18" i="10"/>
  <c r="W18" i="10" s="1"/>
  <c r="V17" i="10"/>
  <c r="W17" i="10" s="1"/>
  <c r="Q17" i="10"/>
  <c r="R17" i="10" s="1"/>
  <c r="L17" i="10"/>
  <c r="M17" i="10" s="1"/>
  <c r="H17" i="10"/>
  <c r="V16" i="10"/>
  <c r="W16" i="10" s="1"/>
  <c r="Q16" i="10"/>
  <c r="R16" i="10" s="1"/>
  <c r="L16" i="10"/>
  <c r="M16" i="10" s="1"/>
  <c r="G16" i="10"/>
  <c r="H16" i="10" s="1"/>
  <c r="V14" i="10"/>
  <c r="W14" i="10" s="1"/>
  <c r="Q14" i="10"/>
  <c r="R14" i="10" s="1"/>
  <c r="L14" i="10"/>
  <c r="M14" i="10" s="1"/>
  <c r="G14" i="10"/>
  <c r="H14" i="10" s="1"/>
  <c r="V13" i="10"/>
  <c r="W13" i="10" s="1"/>
  <c r="Q13" i="10"/>
  <c r="R13" i="10" s="1"/>
  <c r="L13" i="10"/>
  <c r="M13" i="10" s="1"/>
  <c r="G13" i="10"/>
  <c r="H13" i="10" s="1"/>
  <c r="V12" i="10"/>
  <c r="W12" i="10" s="1"/>
  <c r="Q12" i="10"/>
  <c r="R12" i="10" s="1"/>
  <c r="L12" i="10"/>
  <c r="M12" i="10" s="1"/>
  <c r="G12" i="10"/>
  <c r="H12" i="10" s="1"/>
  <c r="V11" i="10"/>
  <c r="W11" i="10" s="1"/>
  <c r="Q11" i="10"/>
  <c r="R11" i="10" s="1"/>
  <c r="L11" i="10"/>
  <c r="M11" i="10" s="1"/>
  <c r="G11" i="10"/>
  <c r="H11" i="10" s="1"/>
  <c r="V10" i="10"/>
  <c r="W10" i="10" s="1"/>
  <c r="Q10" i="10"/>
  <c r="R10" i="10" s="1"/>
  <c r="L10" i="10"/>
  <c r="M10" i="10" s="1"/>
  <c r="G10" i="10"/>
  <c r="H10" i="10" s="1"/>
  <c r="V9" i="10"/>
  <c r="W9" i="10" s="1"/>
  <c r="Q9" i="10"/>
  <c r="R9" i="10" s="1"/>
  <c r="L9" i="10"/>
  <c r="M9" i="10" s="1"/>
  <c r="G9" i="10"/>
  <c r="H9" i="10" s="1"/>
  <c r="V8" i="10"/>
  <c r="W8" i="10" s="1"/>
  <c r="Q8" i="10"/>
  <c r="R8" i="10" s="1"/>
  <c r="M8" i="10"/>
  <c r="G8" i="10"/>
  <c r="H8" i="10" s="1"/>
  <c r="V7" i="10"/>
  <c r="W7" i="10" s="1"/>
  <c r="Q7" i="10"/>
  <c r="R7" i="10" s="1"/>
  <c r="M7" i="10"/>
  <c r="G7" i="10"/>
  <c r="H7" i="10" s="1"/>
  <c r="V6" i="10"/>
  <c r="W6" i="10" s="1"/>
  <c r="Q6" i="10"/>
  <c r="R6" i="10" s="1"/>
  <c r="L6" i="10"/>
  <c r="M6" i="10" s="1"/>
  <c r="G6" i="10"/>
  <c r="H6" i="10" s="1"/>
  <c r="V5" i="10"/>
  <c r="W5" i="10" s="1"/>
  <c r="Q5" i="10"/>
  <c r="R5" i="10" s="1"/>
  <c r="L5" i="10"/>
  <c r="M5" i="10" s="1"/>
  <c r="G5" i="10"/>
  <c r="H5" i="10" s="1"/>
  <c r="D27" i="5"/>
  <c r="D34" i="5" s="1"/>
  <c r="E29" i="5"/>
  <c r="E27" i="5" s="1"/>
  <c r="E34" i="5" s="1"/>
  <c r="F27" i="5"/>
  <c r="F34" i="5" s="1"/>
  <c r="I34" i="5"/>
  <c r="K16" i="9"/>
  <c r="C59" i="9"/>
  <c r="F47" i="5" l="1"/>
  <c r="E16" i="5"/>
  <c r="U154" i="2" l="1"/>
  <c r="U146" i="2"/>
  <c r="U140" i="2"/>
  <c r="U130" i="2"/>
  <c r="U129" i="2" s="1"/>
  <c r="U119" i="2"/>
  <c r="U114" i="2"/>
  <c r="U109" i="2"/>
  <c r="U104" i="2"/>
  <c r="U96" i="2"/>
  <c r="U90" i="2"/>
  <c r="U82" i="2"/>
  <c r="U74" i="2"/>
  <c r="U68" i="2"/>
  <c r="U63" i="2"/>
  <c r="U60" i="2"/>
  <c r="U52" i="2"/>
  <c r="U50" i="2" s="1"/>
  <c r="U39" i="2"/>
  <c r="U35" i="2"/>
  <c r="U22" i="2"/>
  <c r="U19" i="2"/>
  <c r="U16" i="2"/>
  <c r="U13" i="2"/>
  <c r="U10" i="2"/>
  <c r="U5" i="2"/>
  <c r="P164" i="2"/>
  <c r="P154" i="2"/>
  <c r="P146" i="2"/>
  <c r="P140" i="2"/>
  <c r="P130" i="2"/>
  <c r="P129" i="2" s="1"/>
  <c r="P119" i="2"/>
  <c r="P114" i="2"/>
  <c r="P109" i="2"/>
  <c r="P104" i="2"/>
  <c r="P96" i="2"/>
  <c r="P90" i="2"/>
  <c r="P82" i="2"/>
  <c r="P74" i="2"/>
  <c r="P68" i="2"/>
  <c r="P63" i="2"/>
  <c r="P60" i="2"/>
  <c r="P59" i="2" s="1"/>
  <c r="P50" i="2"/>
  <c r="P39" i="2"/>
  <c r="P34" i="2" s="1"/>
  <c r="P33" i="2" s="1"/>
  <c r="P22" i="2"/>
  <c r="P19" i="2"/>
  <c r="P16" i="2"/>
  <c r="P13" i="2"/>
  <c r="P10" i="2"/>
  <c r="P5" i="2"/>
  <c r="P4" i="2" s="1"/>
  <c r="P3" i="2" s="1"/>
  <c r="L63" i="2"/>
  <c r="M63" i="2" s="1"/>
  <c r="U103" i="2" l="1"/>
  <c r="U66" i="2"/>
  <c r="U59" i="2"/>
  <c r="U34" i="2"/>
  <c r="U33" i="2" s="1"/>
  <c r="U4" i="2"/>
  <c r="U163" i="2" s="1"/>
  <c r="P103" i="2"/>
  <c r="P66" i="2"/>
  <c r="P163" i="2"/>
  <c r="L60" i="2"/>
  <c r="M60" i="2" s="1"/>
  <c r="U58" i="2" l="1"/>
  <c r="U32" i="2" s="1"/>
  <c r="U144" i="2" s="1"/>
  <c r="U172" i="2" s="1"/>
  <c r="P58" i="2"/>
  <c r="P32" i="2" s="1"/>
  <c r="P144" i="2" s="1"/>
  <c r="P172" i="2" s="1"/>
  <c r="L59" i="2"/>
  <c r="M59" i="2" s="1"/>
  <c r="C89" i="13"/>
  <c r="C61" i="13"/>
  <c r="C42" i="13"/>
  <c r="V58" i="9"/>
  <c r="W58" i="9" s="1"/>
  <c r="Q58" i="9"/>
  <c r="R58" i="9" s="1"/>
  <c r="L58" i="9"/>
  <c r="M58" i="9" s="1"/>
  <c r="G58" i="9"/>
  <c r="H58" i="9" s="1"/>
  <c r="V57" i="9"/>
  <c r="W57" i="9" s="1"/>
  <c r="Q57" i="9"/>
  <c r="R57" i="9" s="1"/>
  <c r="L57" i="9"/>
  <c r="M57" i="9" s="1"/>
  <c r="G57" i="9"/>
  <c r="H57" i="9" s="1"/>
  <c r="Q49" i="9"/>
  <c r="R49" i="9" s="1"/>
  <c r="L49" i="9"/>
  <c r="M49" i="9" s="1"/>
  <c r="G49" i="9"/>
  <c r="H49" i="9" s="1"/>
  <c r="V41" i="9"/>
  <c r="W41" i="9" s="1"/>
  <c r="Q41" i="9"/>
  <c r="R41" i="9" s="1"/>
  <c r="G41" i="9"/>
  <c r="H41" i="9" s="1"/>
  <c r="V40" i="9"/>
  <c r="W40" i="9" s="1"/>
  <c r="Q40" i="9"/>
  <c r="R40" i="9" s="1"/>
  <c r="L40" i="9"/>
  <c r="M40" i="9" s="1"/>
  <c r="G40" i="9"/>
  <c r="H40" i="9" s="1"/>
  <c r="V38" i="9"/>
  <c r="W38" i="9" s="1"/>
  <c r="Q38" i="9"/>
  <c r="R38" i="9" s="1"/>
  <c r="L38" i="9"/>
  <c r="M38" i="9" s="1"/>
  <c r="G38" i="9"/>
  <c r="H38" i="9" s="1"/>
  <c r="Q18" i="9"/>
  <c r="R18" i="9" s="1"/>
  <c r="Q17" i="9"/>
  <c r="R17" i="9" s="1"/>
  <c r="P16" i="9"/>
  <c r="V15" i="9"/>
  <c r="W15" i="9" s="1"/>
  <c r="Q15" i="9"/>
  <c r="R15" i="9" s="1"/>
  <c r="L15" i="9"/>
  <c r="M15" i="9" s="1"/>
  <c r="G15" i="9"/>
  <c r="H15" i="9" s="1"/>
  <c r="V14" i="9"/>
  <c r="W14" i="9" s="1"/>
  <c r="Q14" i="9"/>
  <c r="R14" i="9" s="1"/>
  <c r="L14" i="9"/>
  <c r="M14" i="9" s="1"/>
  <c r="G14" i="9"/>
  <c r="H14" i="9" s="1"/>
  <c r="V13" i="9"/>
  <c r="W13" i="9" s="1"/>
  <c r="Q13" i="9"/>
  <c r="R13" i="9" s="1"/>
  <c r="L13" i="9"/>
  <c r="M13" i="9" s="1"/>
  <c r="G13" i="9"/>
  <c r="H13" i="9" s="1"/>
  <c r="V12" i="9"/>
  <c r="W12" i="9" s="1"/>
  <c r="Q12" i="9"/>
  <c r="R12" i="9" s="1"/>
  <c r="L12" i="9"/>
  <c r="M12" i="9" s="1"/>
  <c r="G12" i="9"/>
  <c r="H12" i="9" s="1"/>
  <c r="V11" i="9"/>
  <c r="W11" i="9" s="1"/>
  <c r="Q11" i="9"/>
  <c r="R11" i="9" s="1"/>
  <c r="L11" i="9"/>
  <c r="M11" i="9" s="1"/>
  <c r="G11" i="9"/>
  <c r="H11" i="9" s="1"/>
  <c r="V10" i="9"/>
  <c r="W10" i="9" s="1"/>
  <c r="Q10" i="9"/>
  <c r="R10" i="9" s="1"/>
  <c r="K10" i="9"/>
  <c r="L10" i="9" s="1"/>
  <c r="M10" i="9" s="1"/>
  <c r="G10" i="9"/>
  <c r="H10" i="9" s="1"/>
  <c r="V9" i="9"/>
  <c r="W9" i="9" s="1"/>
  <c r="Q9" i="9"/>
  <c r="R9" i="9" s="1"/>
  <c r="K9" i="9"/>
  <c r="L9" i="9" s="1"/>
  <c r="M9" i="9" s="1"/>
  <c r="G9" i="9"/>
  <c r="H9" i="9" s="1"/>
  <c r="U8" i="9"/>
  <c r="P8" i="9"/>
  <c r="F8" i="9"/>
  <c r="E8" i="9"/>
  <c r="V7" i="9"/>
  <c r="W7" i="9" s="1"/>
  <c r="Q7" i="9"/>
  <c r="R7" i="9" s="1"/>
  <c r="L7" i="9"/>
  <c r="M7" i="9" s="1"/>
  <c r="G7" i="9"/>
  <c r="H7" i="9" s="1"/>
  <c r="V6" i="9"/>
  <c r="W6" i="9" s="1"/>
  <c r="Q6" i="9"/>
  <c r="R6" i="9" s="1"/>
  <c r="L6" i="9"/>
  <c r="M6" i="9" s="1"/>
  <c r="G6" i="9"/>
  <c r="H6" i="9" s="1"/>
  <c r="V5" i="9"/>
  <c r="W5" i="9" s="1"/>
  <c r="Q5" i="9"/>
  <c r="R5" i="9" s="1"/>
  <c r="L5" i="9"/>
  <c r="M5" i="9" s="1"/>
  <c r="G5" i="9"/>
  <c r="H5" i="9" s="1"/>
  <c r="V4" i="9"/>
  <c r="W4" i="9" s="1"/>
  <c r="Q4" i="9"/>
  <c r="R4" i="9" s="1"/>
  <c r="L4" i="9"/>
  <c r="M4" i="9" s="1"/>
  <c r="G4" i="9"/>
  <c r="H4" i="9" s="1"/>
  <c r="U3" i="9"/>
  <c r="T3" i="9"/>
  <c r="T59" i="9" s="1"/>
  <c r="P3" i="9"/>
  <c r="O3" i="9"/>
  <c r="K3" i="9"/>
  <c r="J3" i="9"/>
  <c r="F3" i="9"/>
  <c r="E3" i="9"/>
  <c r="D3" i="9"/>
  <c r="G54" i="5"/>
  <c r="H54" i="5" s="1"/>
  <c r="G53" i="5"/>
  <c r="H53" i="5" s="1"/>
  <c r="G52" i="5"/>
  <c r="H52" i="5" s="1"/>
  <c r="G51" i="5"/>
  <c r="H51" i="5" s="1"/>
  <c r="G50" i="5"/>
  <c r="H50" i="5" s="1"/>
  <c r="G49" i="5"/>
  <c r="H49" i="5" s="1"/>
  <c r="H48" i="5"/>
  <c r="G48" i="5"/>
  <c r="G46" i="5"/>
  <c r="H46" i="5" s="1"/>
  <c r="G45" i="5"/>
  <c r="H45" i="5" s="1"/>
  <c r="G43" i="5"/>
  <c r="H43" i="5" s="1"/>
  <c r="G42" i="5"/>
  <c r="H42" i="5" s="1"/>
  <c r="G41" i="5"/>
  <c r="H41" i="5" s="1"/>
  <c r="G40" i="5"/>
  <c r="H40" i="5" s="1"/>
  <c r="D40" i="5"/>
  <c r="G39" i="5"/>
  <c r="H39" i="5" s="1"/>
  <c r="G38" i="5"/>
  <c r="H38" i="5" s="1"/>
  <c r="G37" i="5"/>
  <c r="H37" i="5" s="1"/>
  <c r="E36" i="5"/>
  <c r="G44" i="5" s="1"/>
  <c r="H44" i="5" s="1"/>
  <c r="H35" i="5"/>
  <c r="G33" i="5"/>
  <c r="H33" i="5" s="1"/>
  <c r="G32" i="5"/>
  <c r="H32" i="5" s="1"/>
  <c r="G31" i="5"/>
  <c r="G30" i="5"/>
  <c r="H30" i="5" s="1"/>
  <c r="G28" i="5"/>
  <c r="G26" i="5"/>
  <c r="G25" i="5"/>
  <c r="G24" i="5"/>
  <c r="G23" i="5"/>
  <c r="G22" i="5"/>
  <c r="E21" i="5"/>
  <c r="G21" i="5" s="1"/>
  <c r="D21" i="5"/>
  <c r="G18" i="5"/>
  <c r="H18" i="5" s="1"/>
  <c r="G17" i="5"/>
  <c r="H17" i="5" s="1"/>
  <c r="G16" i="5"/>
  <c r="H16" i="5" s="1"/>
  <c r="G15" i="5"/>
  <c r="H15" i="5" s="1"/>
  <c r="G14" i="5"/>
  <c r="H14" i="5" s="1"/>
  <c r="G13" i="5"/>
  <c r="H13" i="5" s="1"/>
  <c r="G12" i="5"/>
  <c r="H12" i="5" s="1"/>
  <c r="G11" i="5"/>
  <c r="H11" i="5" s="1"/>
  <c r="G10" i="5"/>
  <c r="H10" i="5" s="1"/>
  <c r="G9" i="5"/>
  <c r="H9" i="5" s="1"/>
  <c r="G8" i="5"/>
  <c r="H8" i="5" s="1"/>
  <c r="G7" i="5"/>
  <c r="H7" i="5" s="1"/>
  <c r="G6" i="5"/>
  <c r="H6" i="5" s="1"/>
  <c r="G3" i="5"/>
  <c r="H3" i="5" s="1"/>
  <c r="V79" i="11"/>
  <c r="W79" i="11" s="1"/>
  <c r="Q79" i="11"/>
  <c r="R79" i="11" s="1"/>
  <c r="L79" i="11"/>
  <c r="M79" i="11" s="1"/>
  <c r="G79" i="11"/>
  <c r="H79" i="11" s="1"/>
  <c r="V78" i="11"/>
  <c r="W78" i="11" s="1"/>
  <c r="Q78" i="11"/>
  <c r="R78" i="11" s="1"/>
  <c r="L78" i="11"/>
  <c r="M78" i="11" s="1"/>
  <c r="G78" i="11"/>
  <c r="H78" i="11" s="1"/>
  <c r="V77" i="11"/>
  <c r="W77" i="11" s="1"/>
  <c r="Q77" i="11"/>
  <c r="R77" i="11" s="1"/>
  <c r="L77" i="11"/>
  <c r="M77" i="11" s="1"/>
  <c r="G77" i="11"/>
  <c r="H77" i="11" s="1"/>
  <c r="V76" i="11"/>
  <c r="W76" i="11" s="1"/>
  <c r="Q76" i="11"/>
  <c r="R76" i="11" s="1"/>
  <c r="L76" i="11"/>
  <c r="M76" i="11" s="1"/>
  <c r="G76" i="11"/>
  <c r="H76" i="11" s="1"/>
  <c r="V75" i="11"/>
  <c r="W75" i="11" s="1"/>
  <c r="Q75" i="11"/>
  <c r="R75" i="11" s="1"/>
  <c r="L75" i="11"/>
  <c r="M75" i="11" s="1"/>
  <c r="G75" i="11"/>
  <c r="H75" i="11" s="1"/>
  <c r="V74" i="11"/>
  <c r="W74" i="11" s="1"/>
  <c r="Q74" i="11"/>
  <c r="R74" i="11" s="1"/>
  <c r="L74" i="11"/>
  <c r="M74" i="11" s="1"/>
  <c r="J70" i="11"/>
  <c r="E70" i="11"/>
  <c r="E84" i="11" s="1"/>
  <c r="V73" i="11"/>
  <c r="W73" i="11" s="1"/>
  <c r="Q73" i="11"/>
  <c r="R73" i="11" s="1"/>
  <c r="L73" i="11"/>
  <c r="M73" i="11" s="1"/>
  <c r="G73" i="11"/>
  <c r="H73" i="11" s="1"/>
  <c r="V72" i="11"/>
  <c r="W72" i="11" s="1"/>
  <c r="Q72" i="11"/>
  <c r="R72" i="11" s="1"/>
  <c r="L72" i="11"/>
  <c r="M72" i="11" s="1"/>
  <c r="G72" i="11"/>
  <c r="H72" i="11" s="1"/>
  <c r="V71" i="11"/>
  <c r="W71" i="11" s="1"/>
  <c r="Q71" i="11"/>
  <c r="R71" i="11" s="1"/>
  <c r="L71" i="11"/>
  <c r="M71" i="11" s="1"/>
  <c r="G71" i="11"/>
  <c r="H71" i="11" s="1"/>
  <c r="T70" i="11"/>
  <c r="T84" i="11" s="1"/>
  <c r="P70" i="11"/>
  <c r="P84" i="11" s="1"/>
  <c r="O70" i="11"/>
  <c r="O84" i="11" s="1"/>
  <c r="F70" i="11"/>
  <c r="F84" i="11" s="1"/>
  <c r="D70" i="11"/>
  <c r="D84" i="11" s="1"/>
  <c r="C70" i="11"/>
  <c r="C84" i="11" s="1"/>
  <c r="V69" i="11"/>
  <c r="W69" i="11" s="1"/>
  <c r="Q69" i="11"/>
  <c r="R69" i="11" s="1"/>
  <c r="L69" i="11"/>
  <c r="M69" i="11" s="1"/>
  <c r="G69" i="11"/>
  <c r="H69" i="11" s="1"/>
  <c r="V68" i="11"/>
  <c r="W68" i="11" s="1"/>
  <c r="Q68" i="11"/>
  <c r="R68" i="11" s="1"/>
  <c r="L68" i="11"/>
  <c r="M68" i="11" s="1"/>
  <c r="G68" i="11"/>
  <c r="H68" i="11" s="1"/>
  <c r="V67" i="11"/>
  <c r="W67" i="11" s="1"/>
  <c r="Q67" i="11"/>
  <c r="R67" i="11" s="1"/>
  <c r="L67" i="11"/>
  <c r="M67" i="11" s="1"/>
  <c r="G67" i="11"/>
  <c r="H67" i="11" s="1"/>
  <c r="V66" i="11"/>
  <c r="W66" i="11" s="1"/>
  <c r="Q66" i="11"/>
  <c r="R66" i="11" s="1"/>
  <c r="L66" i="11"/>
  <c r="M66" i="11" s="1"/>
  <c r="G66" i="11"/>
  <c r="H66" i="11" s="1"/>
  <c r="V65" i="11"/>
  <c r="W65" i="11" s="1"/>
  <c r="Q65" i="11"/>
  <c r="R65" i="11" s="1"/>
  <c r="L65" i="11"/>
  <c r="M65" i="11" s="1"/>
  <c r="G65" i="11"/>
  <c r="H65" i="11" s="1"/>
  <c r="V64" i="11"/>
  <c r="W64" i="11" s="1"/>
  <c r="Q64" i="11"/>
  <c r="R64" i="11" s="1"/>
  <c r="L64" i="11"/>
  <c r="M64" i="11" s="1"/>
  <c r="G64" i="11"/>
  <c r="H64" i="11" s="1"/>
  <c r="V63" i="11"/>
  <c r="W63" i="11" s="1"/>
  <c r="Q63" i="11"/>
  <c r="R63" i="11" s="1"/>
  <c r="L63" i="11"/>
  <c r="M63" i="11" s="1"/>
  <c r="G63" i="11"/>
  <c r="H63" i="11" s="1"/>
  <c r="V62" i="11"/>
  <c r="W62" i="11" s="1"/>
  <c r="Q62" i="11"/>
  <c r="R62" i="11" s="1"/>
  <c r="L62" i="11"/>
  <c r="M62" i="11" s="1"/>
  <c r="G62" i="11"/>
  <c r="H62" i="11" s="1"/>
  <c r="V61" i="11"/>
  <c r="W61" i="11" s="1"/>
  <c r="Q61" i="11"/>
  <c r="R61" i="11" s="1"/>
  <c r="L61" i="11"/>
  <c r="M61" i="11" s="1"/>
  <c r="G61" i="11"/>
  <c r="H61" i="11" s="1"/>
  <c r="U60" i="11"/>
  <c r="T60" i="11"/>
  <c r="P60" i="11"/>
  <c r="O60" i="11"/>
  <c r="O83" i="11" s="1"/>
  <c r="K60" i="11"/>
  <c r="J60" i="11"/>
  <c r="J83" i="11" s="1"/>
  <c r="E60" i="11"/>
  <c r="D60" i="11"/>
  <c r="C60" i="11"/>
  <c r="W58" i="11"/>
  <c r="R58" i="11"/>
  <c r="M58" i="11"/>
  <c r="G58" i="11"/>
  <c r="H58" i="11" s="1"/>
  <c r="V57" i="11"/>
  <c r="W57" i="11" s="1"/>
  <c r="Q57" i="11"/>
  <c r="R57" i="11" s="1"/>
  <c r="L57" i="11"/>
  <c r="M57" i="11" s="1"/>
  <c r="G57" i="11"/>
  <c r="H57" i="11" s="1"/>
  <c r="V56" i="11"/>
  <c r="W56" i="11" s="1"/>
  <c r="T55" i="11"/>
  <c r="V55" i="11" s="1"/>
  <c r="W55" i="11" s="1"/>
  <c r="O55" i="11"/>
  <c r="Q55" i="11" s="1"/>
  <c r="R55" i="11" s="1"/>
  <c r="K55" i="11"/>
  <c r="K49" i="11" s="1"/>
  <c r="J55" i="11"/>
  <c r="F55" i="11"/>
  <c r="E55" i="11"/>
  <c r="D55" i="11"/>
  <c r="C55" i="11"/>
  <c r="C49" i="11" s="1"/>
  <c r="V54" i="11"/>
  <c r="W54" i="11" s="1"/>
  <c r="Q54" i="11"/>
  <c r="R54" i="11" s="1"/>
  <c r="L54" i="11"/>
  <c r="M54" i="11" s="1"/>
  <c r="G54" i="11"/>
  <c r="H54" i="11" s="1"/>
  <c r="V53" i="11"/>
  <c r="W53" i="11" s="1"/>
  <c r="Q53" i="11"/>
  <c r="R53" i="11" s="1"/>
  <c r="L53" i="11"/>
  <c r="M53" i="11" s="1"/>
  <c r="G53" i="11"/>
  <c r="H53" i="11" s="1"/>
  <c r="U52" i="11"/>
  <c r="U49" i="11" s="1"/>
  <c r="T52" i="11"/>
  <c r="P52" i="11"/>
  <c r="O52" i="11"/>
  <c r="K52" i="11"/>
  <c r="J52" i="11"/>
  <c r="J49" i="11" s="1"/>
  <c r="F52" i="11"/>
  <c r="E52" i="11"/>
  <c r="E49" i="11" s="1"/>
  <c r="D52" i="11"/>
  <c r="C52" i="11"/>
  <c r="V51" i="11"/>
  <c r="W51" i="11" s="1"/>
  <c r="Q51" i="11"/>
  <c r="R51" i="11" s="1"/>
  <c r="L51" i="11"/>
  <c r="M51" i="11" s="1"/>
  <c r="H51" i="11"/>
  <c r="V50" i="11"/>
  <c r="W50" i="11" s="1"/>
  <c r="Q50" i="11"/>
  <c r="R50" i="11" s="1"/>
  <c r="L50" i="11"/>
  <c r="M50" i="11" s="1"/>
  <c r="G50" i="11"/>
  <c r="H50" i="11" s="1"/>
  <c r="V46" i="11"/>
  <c r="W46" i="11" s="1"/>
  <c r="L46" i="11"/>
  <c r="M46" i="11" s="1"/>
  <c r="G46" i="11"/>
  <c r="H46" i="11" s="1"/>
  <c r="V45" i="11"/>
  <c r="W45" i="11" s="1"/>
  <c r="L45" i="11"/>
  <c r="M45" i="11" s="1"/>
  <c r="G45" i="11"/>
  <c r="H45" i="11" s="1"/>
  <c r="V44" i="11"/>
  <c r="W44" i="11" s="1"/>
  <c r="L44" i="11"/>
  <c r="M44" i="11" s="1"/>
  <c r="G44" i="11"/>
  <c r="H44" i="11" s="1"/>
  <c r="V43" i="11"/>
  <c r="W43" i="11" s="1"/>
  <c r="Q43" i="11"/>
  <c r="R43" i="11" s="1"/>
  <c r="L43" i="11"/>
  <c r="M43" i="11" s="1"/>
  <c r="G43" i="11"/>
  <c r="H43" i="11" s="1"/>
  <c r="V42" i="11"/>
  <c r="W42" i="11" s="1"/>
  <c r="Q42" i="11"/>
  <c r="R42" i="11" s="1"/>
  <c r="L42" i="11"/>
  <c r="M42" i="11" s="1"/>
  <c r="G42" i="11"/>
  <c r="H42" i="11" s="1"/>
  <c r="V41" i="11"/>
  <c r="W41" i="11" s="1"/>
  <c r="Q41" i="11"/>
  <c r="R41" i="11" s="1"/>
  <c r="L41" i="11"/>
  <c r="M41" i="11" s="1"/>
  <c r="G41" i="11"/>
  <c r="H41" i="11" s="1"/>
  <c r="V40" i="11"/>
  <c r="W40" i="11" s="1"/>
  <c r="Q40" i="11"/>
  <c r="R40" i="11" s="1"/>
  <c r="M40" i="11"/>
  <c r="L40" i="11"/>
  <c r="G40" i="11"/>
  <c r="H40" i="11" s="1"/>
  <c r="V39" i="11"/>
  <c r="W39" i="11" s="1"/>
  <c r="Q39" i="11"/>
  <c r="R39" i="11" s="1"/>
  <c r="L39" i="11"/>
  <c r="M39" i="11" s="1"/>
  <c r="G39" i="11"/>
  <c r="H39" i="11" s="1"/>
  <c r="V38" i="11"/>
  <c r="W38" i="11" s="1"/>
  <c r="Q38" i="11"/>
  <c r="R38" i="11" s="1"/>
  <c r="L38" i="11"/>
  <c r="M38" i="11" s="1"/>
  <c r="G38" i="11"/>
  <c r="H38" i="11" s="1"/>
  <c r="V37" i="11"/>
  <c r="W37" i="11" s="1"/>
  <c r="T36" i="11"/>
  <c r="O36" i="11"/>
  <c r="L37" i="11"/>
  <c r="M37" i="11" s="1"/>
  <c r="G37" i="11"/>
  <c r="H37" i="11" s="1"/>
  <c r="U36" i="11"/>
  <c r="P36" i="11"/>
  <c r="K36" i="11"/>
  <c r="J36" i="11"/>
  <c r="F36" i="11"/>
  <c r="E36" i="11"/>
  <c r="D36" i="11"/>
  <c r="C36" i="11"/>
  <c r="W35" i="11"/>
  <c r="V35" i="11"/>
  <c r="Q35" i="11"/>
  <c r="R35" i="11" s="1"/>
  <c r="L35" i="11"/>
  <c r="M35" i="11" s="1"/>
  <c r="G35" i="11"/>
  <c r="H35" i="11" s="1"/>
  <c r="V34" i="11"/>
  <c r="W34" i="11" s="1"/>
  <c r="Q34" i="11"/>
  <c r="R34" i="11" s="1"/>
  <c r="L34" i="11"/>
  <c r="M34" i="11" s="1"/>
  <c r="G34" i="11"/>
  <c r="H34" i="11" s="1"/>
  <c r="W33" i="11"/>
  <c r="V33" i="11"/>
  <c r="Q33" i="11"/>
  <c r="R33" i="11" s="1"/>
  <c r="L33" i="11"/>
  <c r="M33" i="11" s="1"/>
  <c r="G33" i="11"/>
  <c r="H33" i="11" s="1"/>
  <c r="W32" i="11"/>
  <c r="V32" i="11"/>
  <c r="Q32" i="11"/>
  <c r="R32" i="11" s="1"/>
  <c r="L32" i="11"/>
  <c r="M32" i="11" s="1"/>
  <c r="G32" i="11"/>
  <c r="H32" i="11" s="1"/>
  <c r="V31" i="11"/>
  <c r="W31" i="11" s="1"/>
  <c r="Q31" i="11"/>
  <c r="R31" i="11" s="1"/>
  <c r="L31" i="11"/>
  <c r="M31" i="11" s="1"/>
  <c r="H31" i="11"/>
  <c r="G31" i="11"/>
  <c r="V30" i="11"/>
  <c r="W30" i="11" s="1"/>
  <c r="Q30" i="11"/>
  <c r="R30" i="11" s="1"/>
  <c r="L30" i="11"/>
  <c r="M30" i="11" s="1"/>
  <c r="G30" i="11"/>
  <c r="H30" i="11" s="1"/>
  <c r="V29" i="11"/>
  <c r="W29" i="11" s="1"/>
  <c r="Q29" i="11"/>
  <c r="R29" i="11" s="1"/>
  <c r="M29" i="11"/>
  <c r="L29" i="11"/>
  <c r="G29" i="11"/>
  <c r="H29" i="11" s="1"/>
  <c r="V28" i="11"/>
  <c r="W28" i="11" s="1"/>
  <c r="Q28" i="11"/>
  <c r="R28" i="11" s="1"/>
  <c r="M28" i="11"/>
  <c r="L28" i="11"/>
  <c r="G28" i="11"/>
  <c r="H28" i="11" s="1"/>
  <c r="U26" i="11"/>
  <c r="Q27" i="11"/>
  <c r="R27" i="11" s="1"/>
  <c r="L27" i="11"/>
  <c r="M27" i="11" s="1"/>
  <c r="G27" i="11"/>
  <c r="H27" i="11" s="1"/>
  <c r="T26" i="11"/>
  <c r="P26" i="11"/>
  <c r="O26" i="11"/>
  <c r="K26" i="11"/>
  <c r="J26" i="11"/>
  <c r="F26" i="11"/>
  <c r="E26" i="11"/>
  <c r="D26" i="11"/>
  <c r="C26" i="11"/>
  <c r="E25" i="11"/>
  <c r="V24" i="11"/>
  <c r="W24" i="11" s="1"/>
  <c r="Q24" i="11"/>
  <c r="R24" i="11" s="1"/>
  <c r="M24" i="11"/>
  <c r="G24" i="11"/>
  <c r="H24" i="11" s="1"/>
  <c r="V23" i="11"/>
  <c r="W23" i="11" s="1"/>
  <c r="Q23" i="11"/>
  <c r="R23" i="11" s="1"/>
  <c r="M23" i="11"/>
  <c r="G23" i="11"/>
  <c r="H23" i="11" s="1"/>
  <c r="V22" i="11"/>
  <c r="W22" i="11" s="1"/>
  <c r="Q22" i="11"/>
  <c r="R22" i="11" s="1"/>
  <c r="M22" i="11"/>
  <c r="H22" i="11"/>
  <c r="G22" i="11"/>
  <c r="V21" i="11"/>
  <c r="W21" i="11" s="1"/>
  <c r="Q21" i="11"/>
  <c r="R21" i="11" s="1"/>
  <c r="M21" i="11"/>
  <c r="H21" i="11"/>
  <c r="V20" i="11"/>
  <c r="W20" i="11" s="1"/>
  <c r="Q20" i="11"/>
  <c r="R20" i="11" s="1"/>
  <c r="L20" i="11"/>
  <c r="M20" i="11" s="1"/>
  <c r="G20" i="11"/>
  <c r="H20" i="11" s="1"/>
  <c r="V19" i="11"/>
  <c r="W19" i="11" s="1"/>
  <c r="Q19" i="11"/>
  <c r="R19" i="11" s="1"/>
  <c r="L19" i="11"/>
  <c r="M19" i="11" s="1"/>
  <c r="G19" i="11"/>
  <c r="H19" i="11" s="1"/>
  <c r="V18" i="11"/>
  <c r="W18" i="11" s="1"/>
  <c r="Q18" i="11"/>
  <c r="R18" i="11" s="1"/>
  <c r="L18" i="11"/>
  <c r="M18" i="11" s="1"/>
  <c r="H18" i="11"/>
  <c r="G18" i="11"/>
  <c r="V17" i="11"/>
  <c r="W17" i="11" s="1"/>
  <c r="Q17" i="11"/>
  <c r="R17" i="11" s="1"/>
  <c r="M17" i="11"/>
  <c r="L17" i="11"/>
  <c r="G17" i="11"/>
  <c r="H17" i="11" s="1"/>
  <c r="V16" i="11"/>
  <c r="W16" i="11" s="1"/>
  <c r="Q16" i="11"/>
  <c r="R16" i="11" s="1"/>
  <c r="L16" i="11"/>
  <c r="M16" i="11" s="1"/>
  <c r="G16" i="11"/>
  <c r="H16" i="11" s="1"/>
  <c r="V15" i="11"/>
  <c r="W15" i="11" s="1"/>
  <c r="Q15" i="11"/>
  <c r="R15" i="11" s="1"/>
  <c r="L15" i="11"/>
  <c r="M15" i="11" s="1"/>
  <c r="G15" i="11"/>
  <c r="H15" i="11" s="1"/>
  <c r="V14" i="11"/>
  <c r="W14" i="11" s="1"/>
  <c r="Q14" i="11"/>
  <c r="R14" i="11" s="1"/>
  <c r="L14" i="11"/>
  <c r="M14" i="11" s="1"/>
  <c r="G14" i="11"/>
  <c r="H14" i="11" s="1"/>
  <c r="V13" i="11"/>
  <c r="W13" i="11" s="1"/>
  <c r="P11" i="11"/>
  <c r="L13" i="11"/>
  <c r="M13" i="11" s="1"/>
  <c r="G13" i="11"/>
  <c r="H13" i="11" s="1"/>
  <c r="V12" i="11"/>
  <c r="W12" i="11" s="1"/>
  <c r="Q12" i="11"/>
  <c r="R12" i="11" s="1"/>
  <c r="K11" i="11"/>
  <c r="G12" i="11"/>
  <c r="H12" i="11" s="1"/>
  <c r="U11" i="11"/>
  <c r="T11" i="11"/>
  <c r="V11" i="11" s="1"/>
  <c r="W11" i="11" s="1"/>
  <c r="O11" i="11"/>
  <c r="J11" i="11"/>
  <c r="F11" i="11"/>
  <c r="E11" i="11"/>
  <c r="G11" i="11" s="1"/>
  <c r="H11" i="11" s="1"/>
  <c r="D11" i="11"/>
  <c r="C11" i="11"/>
  <c r="V10" i="11"/>
  <c r="W10" i="11" s="1"/>
  <c r="Q10" i="11"/>
  <c r="R10" i="11" s="1"/>
  <c r="L10" i="11"/>
  <c r="M10" i="11" s="1"/>
  <c r="G10" i="11"/>
  <c r="H10" i="11" s="1"/>
  <c r="V9" i="11"/>
  <c r="W9" i="11" s="1"/>
  <c r="Q9" i="11"/>
  <c r="R9" i="11" s="1"/>
  <c r="L9" i="11"/>
  <c r="M9" i="11" s="1"/>
  <c r="G9" i="11"/>
  <c r="H9" i="11" s="1"/>
  <c r="V8" i="11"/>
  <c r="W8" i="11" s="1"/>
  <c r="Q8" i="11"/>
  <c r="R8" i="11" s="1"/>
  <c r="L8" i="11"/>
  <c r="M8" i="11" s="1"/>
  <c r="G8" i="11"/>
  <c r="H8" i="11" s="1"/>
  <c r="V7" i="11"/>
  <c r="W7" i="11" s="1"/>
  <c r="Q7" i="11"/>
  <c r="R7" i="11" s="1"/>
  <c r="L7" i="11"/>
  <c r="M7" i="11" s="1"/>
  <c r="G7" i="11"/>
  <c r="H7" i="11" s="1"/>
  <c r="V6" i="11"/>
  <c r="W6" i="11" s="1"/>
  <c r="Q6" i="11"/>
  <c r="R6" i="11" s="1"/>
  <c r="L6" i="11"/>
  <c r="M6" i="11" s="1"/>
  <c r="G6" i="11"/>
  <c r="H6" i="11" s="1"/>
  <c r="V5" i="11"/>
  <c r="W5" i="11" s="1"/>
  <c r="Q5" i="11"/>
  <c r="R5" i="11" s="1"/>
  <c r="L5" i="11"/>
  <c r="M5" i="11" s="1"/>
  <c r="G5" i="11"/>
  <c r="H5" i="11" s="1"/>
  <c r="U4" i="11"/>
  <c r="T4" i="11"/>
  <c r="P4" i="11"/>
  <c r="O4" i="11"/>
  <c r="K4" i="11"/>
  <c r="J4" i="11"/>
  <c r="F4" i="11"/>
  <c r="E4" i="11"/>
  <c r="D4" i="11"/>
  <c r="C4" i="11"/>
  <c r="V19" i="12"/>
  <c r="W19" i="12" s="1"/>
  <c r="Q19" i="12"/>
  <c r="R19" i="12" s="1"/>
  <c r="L19" i="12"/>
  <c r="M19" i="12" s="1"/>
  <c r="V18" i="12"/>
  <c r="W18" i="12" s="1"/>
  <c r="Q18" i="12"/>
  <c r="R18" i="12" s="1"/>
  <c r="L18" i="12"/>
  <c r="M18" i="12" s="1"/>
  <c r="S17" i="12"/>
  <c r="S20" i="12" s="1"/>
  <c r="V16" i="12"/>
  <c r="W16" i="12" s="1"/>
  <c r="Q16" i="12"/>
  <c r="R16" i="12" s="1"/>
  <c r="L16" i="12"/>
  <c r="M16" i="12" s="1"/>
  <c r="V14" i="12"/>
  <c r="W14" i="12" s="1"/>
  <c r="L14" i="12"/>
  <c r="M14" i="12" s="1"/>
  <c r="V13" i="12"/>
  <c r="W13" i="12" s="1"/>
  <c r="L13" i="12"/>
  <c r="M13" i="12" s="1"/>
  <c r="V12" i="12"/>
  <c r="W12" i="12" s="1"/>
  <c r="V11" i="12"/>
  <c r="W11" i="12" s="1"/>
  <c r="L11" i="12"/>
  <c r="M11" i="12" s="1"/>
  <c r="V10" i="12"/>
  <c r="W10" i="12" s="1"/>
  <c r="L10" i="12"/>
  <c r="M10" i="12" s="1"/>
  <c r="V9" i="12"/>
  <c r="W9" i="12" s="1"/>
  <c r="V8" i="12"/>
  <c r="W8" i="12" s="1"/>
  <c r="V7" i="12"/>
  <c r="W7" i="12" s="1"/>
  <c r="V6" i="12"/>
  <c r="W6" i="12" s="1"/>
  <c r="L6" i="12"/>
  <c r="M6" i="12" s="1"/>
  <c r="U5" i="12"/>
  <c r="U15" i="12" s="1"/>
  <c r="T5" i="12"/>
  <c r="T15" i="12" s="1"/>
  <c r="T17" i="12" s="1"/>
  <c r="T20" i="12" s="1"/>
  <c r="P5" i="12"/>
  <c r="O5" i="12"/>
  <c r="O15" i="12" s="1"/>
  <c r="O17" i="12" s="1"/>
  <c r="O20" i="12" s="1"/>
  <c r="K5" i="12"/>
  <c r="E5" i="12"/>
  <c r="G5" i="12" s="1"/>
  <c r="H5" i="12" s="1"/>
  <c r="D5" i="12"/>
  <c r="D15" i="12" s="1"/>
  <c r="D17" i="12" s="1"/>
  <c r="D20" i="12" s="1"/>
  <c r="C5" i="12"/>
  <c r="C15" i="12" s="1"/>
  <c r="C17" i="12" s="1"/>
  <c r="C20" i="12" s="1"/>
  <c r="V4" i="12"/>
  <c r="W4" i="12" s="1"/>
  <c r="J5" i="12"/>
  <c r="V3" i="12"/>
  <c r="W3" i="12" s="1"/>
  <c r="Q5" i="12" l="1"/>
  <c r="R5" i="12" s="1"/>
  <c r="U145" i="2"/>
  <c r="U153" i="2" s="1"/>
  <c r="U173" i="2" s="1"/>
  <c r="P145" i="2"/>
  <c r="P153" i="2" s="1"/>
  <c r="P173" i="2" s="1"/>
  <c r="L5" i="12"/>
  <c r="G29" i="5"/>
  <c r="H31" i="5"/>
  <c r="L173" i="2"/>
  <c r="C4" i="13"/>
  <c r="D59" i="9"/>
  <c r="T3" i="11"/>
  <c r="L52" i="11"/>
  <c r="M52" i="11" s="1"/>
  <c r="Q52" i="11"/>
  <c r="R52" i="11" s="1"/>
  <c r="L60" i="11"/>
  <c r="M60" i="11" s="1"/>
  <c r="D25" i="11"/>
  <c r="Q36" i="11"/>
  <c r="R36" i="11" s="1"/>
  <c r="J25" i="11"/>
  <c r="L36" i="11"/>
  <c r="M36" i="11" s="1"/>
  <c r="T25" i="11"/>
  <c r="T47" i="11" s="1"/>
  <c r="F49" i="11"/>
  <c r="G49" i="11" s="1"/>
  <c r="H49" i="11" s="1"/>
  <c r="E59" i="11"/>
  <c r="E80" i="11" s="1"/>
  <c r="G84" i="11"/>
  <c r="H84" i="11" s="1"/>
  <c r="T59" i="11"/>
  <c r="O82" i="11"/>
  <c r="G70" i="11"/>
  <c r="H70" i="11" s="1"/>
  <c r="J59" i="11"/>
  <c r="J80" i="11" s="1"/>
  <c r="T83" i="11"/>
  <c r="T82" i="11" s="1"/>
  <c r="O59" i="11"/>
  <c r="E83" i="11"/>
  <c r="E82" i="11" s="1"/>
  <c r="D49" i="11"/>
  <c r="T49" i="11"/>
  <c r="V49" i="11" s="1"/>
  <c r="W49" i="11" s="1"/>
  <c r="O49" i="11"/>
  <c r="L55" i="11"/>
  <c r="M55" i="11" s="1"/>
  <c r="J3" i="11"/>
  <c r="O3" i="11"/>
  <c r="L11" i="11"/>
  <c r="M11" i="11" s="1"/>
  <c r="E3" i="11"/>
  <c r="E47" i="11" s="1"/>
  <c r="D3" i="11"/>
  <c r="D59" i="11"/>
  <c r="D83" i="11"/>
  <c r="D82" i="11" s="1"/>
  <c r="C59" i="11"/>
  <c r="C25" i="11"/>
  <c r="C3" i="11"/>
  <c r="G55" i="11"/>
  <c r="H55" i="11" s="1"/>
  <c r="G26" i="11"/>
  <c r="H26" i="11" s="1"/>
  <c r="P25" i="11"/>
  <c r="Q4" i="11"/>
  <c r="R4" i="11" s="1"/>
  <c r="P3" i="11"/>
  <c r="Q70" i="11"/>
  <c r="R70" i="11" s="1"/>
  <c r="J15" i="12"/>
  <c r="J17" i="12" s="1"/>
  <c r="J20" i="12" s="1"/>
  <c r="E15" i="12"/>
  <c r="Q3" i="9"/>
  <c r="R3" i="9" s="1"/>
  <c r="L3" i="9"/>
  <c r="M3" i="9" s="1"/>
  <c r="V49" i="9"/>
  <c r="W49" i="9" s="1"/>
  <c r="G16" i="9"/>
  <c r="H16" i="9" s="1"/>
  <c r="G3" i="9"/>
  <c r="H3" i="9" s="1"/>
  <c r="L41" i="9"/>
  <c r="M41" i="9" s="1"/>
  <c r="Q16" i="9"/>
  <c r="R16" i="9" s="1"/>
  <c r="E19" i="5"/>
  <c r="G19" i="5" s="1"/>
  <c r="H19" i="5" s="1"/>
  <c r="P59" i="9"/>
  <c r="V8" i="9"/>
  <c r="W8" i="9" s="1"/>
  <c r="Q8" i="9"/>
  <c r="R8" i="9" s="1"/>
  <c r="G8" i="9"/>
  <c r="H8" i="9" s="1"/>
  <c r="E59" i="9"/>
  <c r="L18" i="9"/>
  <c r="M18" i="9" s="1"/>
  <c r="V18" i="9"/>
  <c r="W18" i="9" s="1"/>
  <c r="U17" i="9"/>
  <c r="J59" i="9"/>
  <c r="G17" i="9"/>
  <c r="H17" i="9" s="1"/>
  <c r="G18" i="9"/>
  <c r="H18" i="9" s="1"/>
  <c r="K8" i="9"/>
  <c r="L8" i="9" s="1"/>
  <c r="M8" i="9" s="1"/>
  <c r="V3" i="9"/>
  <c r="W3" i="9" s="1"/>
  <c r="G5" i="5"/>
  <c r="H5" i="5" s="1"/>
  <c r="G36" i="5"/>
  <c r="H36" i="5" s="1"/>
  <c r="U3" i="11"/>
  <c r="V3" i="11" s="1"/>
  <c r="W3" i="11" s="1"/>
  <c r="V4" i="11"/>
  <c r="W4" i="11" s="1"/>
  <c r="Q37" i="11"/>
  <c r="R37" i="11" s="1"/>
  <c r="G36" i="11"/>
  <c r="H36" i="11" s="1"/>
  <c r="F25" i="11"/>
  <c r="Q13" i="11"/>
  <c r="R13" i="11" s="1"/>
  <c r="L12" i="11"/>
  <c r="M12" i="11" s="1"/>
  <c r="J84" i="11"/>
  <c r="J82" i="11" s="1"/>
  <c r="V60" i="11"/>
  <c r="W60" i="11" s="1"/>
  <c r="U83" i="11"/>
  <c r="V26" i="11"/>
  <c r="W26" i="11" s="1"/>
  <c r="U25" i="11"/>
  <c r="V36" i="11"/>
  <c r="W36" i="11" s="1"/>
  <c r="P83" i="11"/>
  <c r="P59" i="11"/>
  <c r="C83" i="11"/>
  <c r="C82" i="11" s="1"/>
  <c r="Q84" i="11"/>
  <c r="R84" i="11" s="1"/>
  <c r="F59" i="11"/>
  <c r="G60" i="11"/>
  <c r="H60" i="11" s="1"/>
  <c r="F83" i="11"/>
  <c r="Q11" i="11"/>
  <c r="R11" i="11" s="1"/>
  <c r="L49" i="11"/>
  <c r="M49" i="11" s="1"/>
  <c r="F3" i="11"/>
  <c r="G4" i="11"/>
  <c r="H4" i="11" s="1"/>
  <c r="K25" i="11"/>
  <c r="L26" i="11"/>
  <c r="M26" i="11" s="1"/>
  <c r="K3" i="11"/>
  <c r="L4" i="11"/>
  <c r="M4" i="11" s="1"/>
  <c r="O25" i="11"/>
  <c r="O47" i="11" s="1"/>
  <c r="Q60" i="11"/>
  <c r="R60" i="11" s="1"/>
  <c r="U70" i="11"/>
  <c r="K70" i="11"/>
  <c r="G74" i="11"/>
  <c r="H74" i="11" s="1"/>
  <c r="V27" i="11"/>
  <c r="W27" i="11" s="1"/>
  <c r="K83" i="11"/>
  <c r="P49" i="11"/>
  <c r="Q49" i="11" s="1"/>
  <c r="R49" i="11" s="1"/>
  <c r="G52" i="11"/>
  <c r="H52" i="11" s="1"/>
  <c r="V52" i="11"/>
  <c r="W52" i="11" s="1"/>
  <c r="Q26" i="11"/>
  <c r="R26" i="11" s="1"/>
  <c r="V15" i="12"/>
  <c r="W15" i="12" s="1"/>
  <c r="U17" i="12"/>
  <c r="M5" i="12"/>
  <c r="V5" i="12"/>
  <c r="W5" i="12" s="1"/>
  <c r="K15" i="12"/>
  <c r="L15" i="12" s="1"/>
  <c r="P15" i="12"/>
  <c r="V171" i="2"/>
  <c r="W171" i="2" s="1"/>
  <c r="Q171" i="2"/>
  <c r="R171" i="2" s="1"/>
  <c r="L171" i="2"/>
  <c r="M171" i="2" s="1"/>
  <c r="G171" i="2"/>
  <c r="H171" i="2" s="1"/>
  <c r="Q170" i="2"/>
  <c r="R170" i="2" s="1"/>
  <c r="L170" i="2"/>
  <c r="M170" i="2" s="1"/>
  <c r="V169" i="2"/>
  <c r="W169" i="2" s="1"/>
  <c r="Q169" i="2"/>
  <c r="R169" i="2" s="1"/>
  <c r="L169" i="2"/>
  <c r="M169" i="2" s="1"/>
  <c r="G169" i="2"/>
  <c r="H169" i="2" s="1"/>
  <c r="V168" i="2"/>
  <c r="W168" i="2" s="1"/>
  <c r="Q168" i="2"/>
  <c r="R168" i="2" s="1"/>
  <c r="L168" i="2"/>
  <c r="M168" i="2" s="1"/>
  <c r="G168" i="2"/>
  <c r="H168" i="2" s="1"/>
  <c r="V167" i="2"/>
  <c r="W167" i="2" s="1"/>
  <c r="Q167" i="2"/>
  <c r="R167" i="2" s="1"/>
  <c r="L167" i="2"/>
  <c r="M167" i="2" s="1"/>
  <c r="G167" i="2"/>
  <c r="H167" i="2" s="1"/>
  <c r="V166" i="2"/>
  <c r="W166" i="2" s="1"/>
  <c r="Q166" i="2"/>
  <c r="R166" i="2" s="1"/>
  <c r="L166" i="2"/>
  <c r="M166" i="2" s="1"/>
  <c r="G166" i="2"/>
  <c r="H166" i="2" s="1"/>
  <c r="V165" i="2"/>
  <c r="W165" i="2" s="1"/>
  <c r="L165" i="2"/>
  <c r="M165" i="2" s="1"/>
  <c r="G165" i="2"/>
  <c r="H165" i="2" s="1"/>
  <c r="V162" i="2"/>
  <c r="W162" i="2" s="1"/>
  <c r="Q154" i="2"/>
  <c r="R154" i="2" s="1"/>
  <c r="L162" i="2"/>
  <c r="M162" i="2" s="1"/>
  <c r="V161" i="2"/>
  <c r="W161" i="2" s="1"/>
  <c r="Q161" i="2"/>
  <c r="R161" i="2" s="1"/>
  <c r="L161" i="2"/>
  <c r="M161" i="2" s="1"/>
  <c r="G161" i="2"/>
  <c r="H161" i="2" s="1"/>
  <c r="V160" i="2"/>
  <c r="W160" i="2" s="1"/>
  <c r="Q160" i="2"/>
  <c r="R160" i="2" s="1"/>
  <c r="L160" i="2"/>
  <c r="M160" i="2" s="1"/>
  <c r="G160" i="2"/>
  <c r="H160" i="2" s="1"/>
  <c r="V159" i="2"/>
  <c r="W159" i="2" s="1"/>
  <c r="Q159" i="2"/>
  <c r="R159" i="2" s="1"/>
  <c r="L159" i="2"/>
  <c r="M159" i="2" s="1"/>
  <c r="G159" i="2"/>
  <c r="H159" i="2" s="1"/>
  <c r="V158" i="2"/>
  <c r="W158" i="2" s="1"/>
  <c r="Q158" i="2"/>
  <c r="R158" i="2" s="1"/>
  <c r="L158" i="2"/>
  <c r="M158" i="2" s="1"/>
  <c r="G158" i="2"/>
  <c r="H158" i="2" s="1"/>
  <c r="V157" i="2"/>
  <c r="W157" i="2" s="1"/>
  <c r="Q157" i="2"/>
  <c r="R157" i="2" s="1"/>
  <c r="L157" i="2"/>
  <c r="M157" i="2" s="1"/>
  <c r="G157" i="2"/>
  <c r="H157" i="2" s="1"/>
  <c r="V156" i="2"/>
  <c r="W156" i="2" s="1"/>
  <c r="Q156" i="2"/>
  <c r="R156" i="2" s="1"/>
  <c r="G156" i="2"/>
  <c r="H156" i="2" s="1"/>
  <c r="V155" i="2"/>
  <c r="W155" i="2" s="1"/>
  <c r="Q155" i="2"/>
  <c r="R155" i="2" s="1"/>
  <c r="L155" i="2"/>
  <c r="M155" i="2" s="1"/>
  <c r="G155" i="2"/>
  <c r="H155" i="2" s="1"/>
  <c r="V154" i="2"/>
  <c r="W154" i="2" s="1"/>
  <c r="V152" i="2"/>
  <c r="W152" i="2" s="1"/>
  <c r="Q152" i="2"/>
  <c r="R152" i="2" s="1"/>
  <c r="L152" i="2"/>
  <c r="M152" i="2" s="1"/>
  <c r="G152" i="2"/>
  <c r="H152" i="2" s="1"/>
  <c r="V151" i="2"/>
  <c r="W151" i="2" s="1"/>
  <c r="Q151" i="2"/>
  <c r="R151" i="2" s="1"/>
  <c r="L151" i="2"/>
  <c r="M151" i="2" s="1"/>
  <c r="G151" i="2"/>
  <c r="H151" i="2" s="1"/>
  <c r="V150" i="2"/>
  <c r="W150" i="2" s="1"/>
  <c r="Q150" i="2"/>
  <c r="R150" i="2" s="1"/>
  <c r="L150" i="2"/>
  <c r="M150" i="2" s="1"/>
  <c r="G150" i="2"/>
  <c r="H150" i="2" s="1"/>
  <c r="V149" i="2"/>
  <c r="W149" i="2" s="1"/>
  <c r="Q149" i="2"/>
  <c r="R149" i="2" s="1"/>
  <c r="L149" i="2"/>
  <c r="M149" i="2" s="1"/>
  <c r="G149" i="2"/>
  <c r="H149" i="2" s="1"/>
  <c r="V148" i="2"/>
  <c r="W148" i="2" s="1"/>
  <c r="Q148" i="2"/>
  <c r="R148" i="2" s="1"/>
  <c r="L148" i="2"/>
  <c r="M148" i="2" s="1"/>
  <c r="G148" i="2"/>
  <c r="H148" i="2" s="1"/>
  <c r="V147" i="2"/>
  <c r="W147" i="2" s="1"/>
  <c r="Q147" i="2"/>
  <c r="R147" i="2" s="1"/>
  <c r="L147" i="2"/>
  <c r="M147" i="2" s="1"/>
  <c r="G147" i="2"/>
  <c r="H147" i="2" s="1"/>
  <c r="V146" i="2"/>
  <c r="W146" i="2" s="1"/>
  <c r="F146" i="2"/>
  <c r="V143" i="2"/>
  <c r="W143" i="2" s="1"/>
  <c r="Q143" i="2"/>
  <c r="R143" i="2" s="1"/>
  <c r="L143" i="2"/>
  <c r="M143" i="2" s="1"/>
  <c r="G143" i="2"/>
  <c r="H143" i="2" s="1"/>
  <c r="V142" i="2"/>
  <c r="W142" i="2" s="1"/>
  <c r="Q142" i="2"/>
  <c r="R142" i="2" s="1"/>
  <c r="L142" i="2"/>
  <c r="M142" i="2" s="1"/>
  <c r="G142" i="2"/>
  <c r="H142" i="2" s="1"/>
  <c r="V141" i="2"/>
  <c r="W141" i="2" s="1"/>
  <c r="Q141" i="2"/>
  <c r="R141" i="2" s="1"/>
  <c r="M141" i="2"/>
  <c r="G141" i="2"/>
  <c r="H141" i="2" s="1"/>
  <c r="V140" i="2"/>
  <c r="W140" i="2" s="1"/>
  <c r="Q140" i="2"/>
  <c r="R140" i="2" s="1"/>
  <c r="F140" i="2"/>
  <c r="V138" i="2"/>
  <c r="W138" i="2" s="1"/>
  <c r="Q138" i="2"/>
  <c r="R138" i="2" s="1"/>
  <c r="L138" i="2"/>
  <c r="M138" i="2" s="1"/>
  <c r="G138" i="2"/>
  <c r="H138" i="2" s="1"/>
  <c r="V137" i="2"/>
  <c r="W137" i="2" s="1"/>
  <c r="Q137" i="2"/>
  <c r="R137" i="2" s="1"/>
  <c r="L137" i="2"/>
  <c r="M137" i="2" s="1"/>
  <c r="G137" i="2"/>
  <c r="H137" i="2" s="1"/>
  <c r="V136" i="2"/>
  <c r="W136" i="2" s="1"/>
  <c r="Q136" i="2"/>
  <c r="R136" i="2" s="1"/>
  <c r="L136" i="2"/>
  <c r="M136" i="2" s="1"/>
  <c r="G136" i="2"/>
  <c r="H136" i="2" s="1"/>
  <c r="V135" i="2"/>
  <c r="W135" i="2" s="1"/>
  <c r="Q135" i="2"/>
  <c r="R135" i="2" s="1"/>
  <c r="L135" i="2"/>
  <c r="M135" i="2" s="1"/>
  <c r="G135" i="2"/>
  <c r="H135" i="2" s="1"/>
  <c r="V134" i="2"/>
  <c r="W134" i="2" s="1"/>
  <c r="Q134" i="2"/>
  <c r="R134" i="2" s="1"/>
  <c r="L134" i="2"/>
  <c r="M134" i="2" s="1"/>
  <c r="G134" i="2"/>
  <c r="H134" i="2" s="1"/>
  <c r="V133" i="2"/>
  <c r="W133" i="2" s="1"/>
  <c r="Q133" i="2"/>
  <c r="R133" i="2" s="1"/>
  <c r="L133" i="2"/>
  <c r="M133" i="2" s="1"/>
  <c r="G133" i="2"/>
  <c r="H133" i="2" s="1"/>
  <c r="V132" i="2"/>
  <c r="W132" i="2" s="1"/>
  <c r="Q132" i="2"/>
  <c r="R132" i="2" s="1"/>
  <c r="L132" i="2"/>
  <c r="M132" i="2" s="1"/>
  <c r="V131" i="2"/>
  <c r="W131" i="2" s="1"/>
  <c r="Q131" i="2"/>
  <c r="R131" i="2" s="1"/>
  <c r="L131" i="2"/>
  <c r="M131" i="2" s="1"/>
  <c r="G131" i="2"/>
  <c r="H131" i="2" s="1"/>
  <c r="V128" i="2"/>
  <c r="W128" i="2" s="1"/>
  <c r="Q128" i="2"/>
  <c r="R128" i="2" s="1"/>
  <c r="L128" i="2"/>
  <c r="M128" i="2" s="1"/>
  <c r="G128" i="2"/>
  <c r="H128" i="2" s="1"/>
  <c r="V127" i="2"/>
  <c r="W127" i="2" s="1"/>
  <c r="Q127" i="2"/>
  <c r="R127" i="2" s="1"/>
  <c r="L127" i="2"/>
  <c r="M127" i="2" s="1"/>
  <c r="G127" i="2"/>
  <c r="H127" i="2" s="1"/>
  <c r="V126" i="2"/>
  <c r="W126" i="2" s="1"/>
  <c r="Q126" i="2"/>
  <c r="R126" i="2" s="1"/>
  <c r="L126" i="2"/>
  <c r="M126" i="2" s="1"/>
  <c r="G126" i="2"/>
  <c r="H126" i="2" s="1"/>
  <c r="V125" i="2"/>
  <c r="W125" i="2" s="1"/>
  <c r="Q125" i="2"/>
  <c r="R125" i="2" s="1"/>
  <c r="L125" i="2"/>
  <c r="M125" i="2" s="1"/>
  <c r="G125" i="2"/>
  <c r="H125" i="2" s="1"/>
  <c r="V124" i="2"/>
  <c r="W124" i="2" s="1"/>
  <c r="Q124" i="2"/>
  <c r="R124" i="2" s="1"/>
  <c r="L124" i="2"/>
  <c r="M124" i="2" s="1"/>
  <c r="G124" i="2"/>
  <c r="H124" i="2" s="1"/>
  <c r="V123" i="2"/>
  <c r="W123" i="2" s="1"/>
  <c r="Q123" i="2"/>
  <c r="R123" i="2" s="1"/>
  <c r="L123" i="2"/>
  <c r="M123" i="2" s="1"/>
  <c r="G123" i="2"/>
  <c r="H123" i="2" s="1"/>
  <c r="V122" i="2"/>
  <c r="W122" i="2" s="1"/>
  <c r="Q122" i="2"/>
  <c r="R122" i="2" s="1"/>
  <c r="L122" i="2"/>
  <c r="M122" i="2" s="1"/>
  <c r="G122" i="2"/>
  <c r="H122" i="2" s="1"/>
  <c r="V121" i="2"/>
  <c r="W121" i="2" s="1"/>
  <c r="Q121" i="2"/>
  <c r="R121" i="2" s="1"/>
  <c r="L121" i="2"/>
  <c r="M121" i="2" s="1"/>
  <c r="G121" i="2"/>
  <c r="H121" i="2" s="1"/>
  <c r="V120" i="2"/>
  <c r="W120" i="2" s="1"/>
  <c r="Q120" i="2"/>
  <c r="R120" i="2" s="1"/>
  <c r="L120" i="2"/>
  <c r="M120" i="2" s="1"/>
  <c r="G120" i="2"/>
  <c r="H120" i="2" s="1"/>
  <c r="V119" i="2"/>
  <c r="W119" i="2" s="1"/>
  <c r="L119" i="2"/>
  <c r="M119" i="2" s="1"/>
  <c r="F119" i="2"/>
  <c r="V118" i="2"/>
  <c r="W118" i="2" s="1"/>
  <c r="Q118" i="2"/>
  <c r="R118" i="2" s="1"/>
  <c r="L118" i="2"/>
  <c r="M118" i="2" s="1"/>
  <c r="G118" i="2"/>
  <c r="H118" i="2" s="1"/>
  <c r="V117" i="2"/>
  <c r="W117" i="2" s="1"/>
  <c r="Q117" i="2"/>
  <c r="R117" i="2" s="1"/>
  <c r="L117" i="2"/>
  <c r="M117" i="2" s="1"/>
  <c r="G117" i="2"/>
  <c r="H117" i="2" s="1"/>
  <c r="V116" i="2"/>
  <c r="W116" i="2" s="1"/>
  <c r="Q116" i="2"/>
  <c r="R116" i="2" s="1"/>
  <c r="L116" i="2"/>
  <c r="M116" i="2" s="1"/>
  <c r="G116" i="2"/>
  <c r="H116" i="2" s="1"/>
  <c r="V114" i="2"/>
  <c r="W114" i="2" s="1"/>
  <c r="F114" i="2"/>
  <c r="G114" i="2" s="1"/>
  <c r="H114" i="2" s="1"/>
  <c r="V113" i="2"/>
  <c r="W113" i="2" s="1"/>
  <c r="Q113" i="2"/>
  <c r="R113" i="2" s="1"/>
  <c r="L113" i="2"/>
  <c r="M113" i="2" s="1"/>
  <c r="G113" i="2"/>
  <c r="H113" i="2" s="1"/>
  <c r="V112" i="2"/>
  <c r="W112" i="2" s="1"/>
  <c r="Q112" i="2"/>
  <c r="R112" i="2" s="1"/>
  <c r="L112" i="2"/>
  <c r="M112" i="2" s="1"/>
  <c r="G112" i="2"/>
  <c r="H112" i="2" s="1"/>
  <c r="V111" i="2"/>
  <c r="W111" i="2" s="1"/>
  <c r="Q111" i="2"/>
  <c r="R111" i="2" s="1"/>
  <c r="L111" i="2"/>
  <c r="M111" i="2" s="1"/>
  <c r="G111" i="2"/>
  <c r="H111" i="2" s="1"/>
  <c r="V110" i="2"/>
  <c r="W110" i="2" s="1"/>
  <c r="Q110" i="2"/>
  <c r="R110" i="2" s="1"/>
  <c r="L110" i="2"/>
  <c r="M110" i="2" s="1"/>
  <c r="G110" i="2"/>
  <c r="H110" i="2" s="1"/>
  <c r="V109" i="2"/>
  <c r="W109" i="2" s="1"/>
  <c r="L109" i="2"/>
  <c r="M109" i="2" s="1"/>
  <c r="F109" i="2"/>
  <c r="G109" i="2" s="1"/>
  <c r="H109" i="2" s="1"/>
  <c r="V108" i="2"/>
  <c r="W108" i="2" s="1"/>
  <c r="Q108" i="2"/>
  <c r="R108" i="2" s="1"/>
  <c r="L108" i="2"/>
  <c r="M108" i="2" s="1"/>
  <c r="G108" i="2"/>
  <c r="H108" i="2" s="1"/>
  <c r="V107" i="2"/>
  <c r="W107" i="2" s="1"/>
  <c r="Q107" i="2"/>
  <c r="R107" i="2" s="1"/>
  <c r="L107" i="2"/>
  <c r="M107" i="2" s="1"/>
  <c r="G107" i="2"/>
  <c r="H107" i="2" s="1"/>
  <c r="V106" i="2"/>
  <c r="W106" i="2" s="1"/>
  <c r="Q106" i="2"/>
  <c r="R106" i="2" s="1"/>
  <c r="L106" i="2"/>
  <c r="M106" i="2" s="1"/>
  <c r="G106" i="2"/>
  <c r="H106" i="2" s="1"/>
  <c r="V105" i="2"/>
  <c r="W105" i="2" s="1"/>
  <c r="Q105" i="2"/>
  <c r="R105" i="2" s="1"/>
  <c r="L105" i="2"/>
  <c r="M105" i="2" s="1"/>
  <c r="G105" i="2"/>
  <c r="H105" i="2" s="1"/>
  <c r="V104" i="2"/>
  <c r="W104" i="2" s="1"/>
  <c r="L104" i="2"/>
  <c r="M104" i="2" s="1"/>
  <c r="V102" i="2"/>
  <c r="W102" i="2" s="1"/>
  <c r="Q102" i="2"/>
  <c r="R102" i="2" s="1"/>
  <c r="L102" i="2"/>
  <c r="M102" i="2" s="1"/>
  <c r="G102" i="2"/>
  <c r="H102" i="2" s="1"/>
  <c r="V101" i="2"/>
  <c r="W101" i="2" s="1"/>
  <c r="Q101" i="2"/>
  <c r="R101" i="2" s="1"/>
  <c r="L101" i="2"/>
  <c r="M101" i="2" s="1"/>
  <c r="G101" i="2"/>
  <c r="H101" i="2" s="1"/>
  <c r="V100" i="2"/>
  <c r="W100" i="2" s="1"/>
  <c r="Q100" i="2"/>
  <c r="R100" i="2" s="1"/>
  <c r="L100" i="2"/>
  <c r="M100" i="2" s="1"/>
  <c r="G100" i="2"/>
  <c r="H100" i="2" s="1"/>
  <c r="V99" i="2"/>
  <c r="W99" i="2" s="1"/>
  <c r="Q99" i="2"/>
  <c r="R99" i="2" s="1"/>
  <c r="L99" i="2"/>
  <c r="M99" i="2" s="1"/>
  <c r="G99" i="2"/>
  <c r="H99" i="2" s="1"/>
  <c r="V98" i="2"/>
  <c r="W98" i="2" s="1"/>
  <c r="Q98" i="2"/>
  <c r="R98" i="2" s="1"/>
  <c r="L98" i="2"/>
  <c r="M98" i="2" s="1"/>
  <c r="G98" i="2"/>
  <c r="H98" i="2" s="1"/>
  <c r="V97" i="2"/>
  <c r="W97" i="2" s="1"/>
  <c r="Q97" i="2"/>
  <c r="R97" i="2" s="1"/>
  <c r="L97" i="2"/>
  <c r="M97" i="2" s="1"/>
  <c r="G97" i="2"/>
  <c r="H97" i="2" s="1"/>
  <c r="V96" i="2"/>
  <c r="W96" i="2" s="1"/>
  <c r="L96" i="2"/>
  <c r="M96" i="2" s="1"/>
  <c r="F96" i="2"/>
  <c r="V95" i="2"/>
  <c r="W95" i="2" s="1"/>
  <c r="Q95" i="2"/>
  <c r="R95" i="2" s="1"/>
  <c r="L95" i="2"/>
  <c r="M95" i="2" s="1"/>
  <c r="G95" i="2"/>
  <c r="H95" i="2" s="1"/>
  <c r="V94" i="2"/>
  <c r="W94" i="2" s="1"/>
  <c r="Q94" i="2"/>
  <c r="R94" i="2" s="1"/>
  <c r="L94" i="2"/>
  <c r="M94" i="2" s="1"/>
  <c r="G94" i="2"/>
  <c r="H94" i="2" s="1"/>
  <c r="V93" i="2"/>
  <c r="W93" i="2" s="1"/>
  <c r="Q93" i="2"/>
  <c r="R93" i="2" s="1"/>
  <c r="L93" i="2"/>
  <c r="M93" i="2" s="1"/>
  <c r="G93" i="2"/>
  <c r="H93" i="2" s="1"/>
  <c r="V92" i="2"/>
  <c r="W92" i="2" s="1"/>
  <c r="Q92" i="2"/>
  <c r="R92" i="2" s="1"/>
  <c r="L92" i="2"/>
  <c r="M92" i="2" s="1"/>
  <c r="G92" i="2"/>
  <c r="H92" i="2" s="1"/>
  <c r="V91" i="2"/>
  <c r="W91" i="2" s="1"/>
  <c r="Q91" i="2"/>
  <c r="R91" i="2" s="1"/>
  <c r="L91" i="2"/>
  <c r="M91" i="2" s="1"/>
  <c r="G91" i="2"/>
  <c r="H91" i="2" s="1"/>
  <c r="V90" i="2"/>
  <c r="W90" i="2" s="1"/>
  <c r="L90" i="2"/>
  <c r="M90" i="2" s="1"/>
  <c r="F90" i="2"/>
  <c r="G90" i="2" s="1"/>
  <c r="H90" i="2" s="1"/>
  <c r="V89" i="2"/>
  <c r="W89" i="2" s="1"/>
  <c r="Q89" i="2"/>
  <c r="R89" i="2" s="1"/>
  <c r="L89" i="2"/>
  <c r="M89" i="2" s="1"/>
  <c r="G89" i="2"/>
  <c r="H89" i="2" s="1"/>
  <c r="V88" i="2"/>
  <c r="W88" i="2" s="1"/>
  <c r="Q88" i="2"/>
  <c r="R88" i="2" s="1"/>
  <c r="L88" i="2"/>
  <c r="M88" i="2" s="1"/>
  <c r="G88" i="2"/>
  <c r="H88" i="2" s="1"/>
  <c r="V87" i="2"/>
  <c r="W87" i="2" s="1"/>
  <c r="Q87" i="2"/>
  <c r="R87" i="2" s="1"/>
  <c r="V86" i="2"/>
  <c r="W86" i="2" s="1"/>
  <c r="Q86" i="2"/>
  <c r="R86" i="2" s="1"/>
  <c r="L86" i="2"/>
  <c r="M86" i="2" s="1"/>
  <c r="G86" i="2"/>
  <c r="H86" i="2" s="1"/>
  <c r="V85" i="2"/>
  <c r="W85" i="2" s="1"/>
  <c r="Q85" i="2"/>
  <c r="R85" i="2" s="1"/>
  <c r="L85" i="2"/>
  <c r="M85" i="2" s="1"/>
  <c r="G85" i="2"/>
  <c r="H85" i="2" s="1"/>
  <c r="V84" i="2"/>
  <c r="W84" i="2" s="1"/>
  <c r="Q84" i="2"/>
  <c r="R84" i="2" s="1"/>
  <c r="L84" i="2"/>
  <c r="M84" i="2" s="1"/>
  <c r="G84" i="2"/>
  <c r="H84" i="2" s="1"/>
  <c r="V83" i="2"/>
  <c r="W83" i="2" s="1"/>
  <c r="Q83" i="2"/>
  <c r="R83" i="2" s="1"/>
  <c r="L83" i="2"/>
  <c r="M83" i="2" s="1"/>
  <c r="G83" i="2"/>
  <c r="H83" i="2" s="1"/>
  <c r="V82" i="2"/>
  <c r="W82" i="2" s="1"/>
  <c r="V74" i="2"/>
  <c r="W74" i="2" s="1"/>
  <c r="Q81" i="2"/>
  <c r="R81" i="2" s="1"/>
  <c r="L74" i="2"/>
  <c r="M74" i="2" s="1"/>
  <c r="F74" i="2"/>
  <c r="V80" i="2"/>
  <c r="W80" i="2" s="1"/>
  <c r="Q80" i="2"/>
  <c r="R80" i="2" s="1"/>
  <c r="L80" i="2"/>
  <c r="M80" i="2" s="1"/>
  <c r="G80" i="2"/>
  <c r="H80" i="2" s="1"/>
  <c r="V79" i="2"/>
  <c r="W79" i="2" s="1"/>
  <c r="Q79" i="2"/>
  <c r="R79" i="2" s="1"/>
  <c r="L79" i="2"/>
  <c r="M79" i="2" s="1"/>
  <c r="G79" i="2"/>
  <c r="H79" i="2" s="1"/>
  <c r="V78" i="2"/>
  <c r="W78" i="2" s="1"/>
  <c r="Q78" i="2"/>
  <c r="R78" i="2" s="1"/>
  <c r="L78" i="2"/>
  <c r="M78" i="2" s="1"/>
  <c r="G78" i="2"/>
  <c r="H78" i="2" s="1"/>
  <c r="V77" i="2"/>
  <c r="W77" i="2" s="1"/>
  <c r="Q77" i="2"/>
  <c r="R77" i="2" s="1"/>
  <c r="L77" i="2"/>
  <c r="M77" i="2" s="1"/>
  <c r="G77" i="2"/>
  <c r="H77" i="2" s="1"/>
  <c r="V76" i="2"/>
  <c r="W76" i="2" s="1"/>
  <c r="Q76" i="2"/>
  <c r="R76" i="2" s="1"/>
  <c r="L76" i="2"/>
  <c r="M76" i="2" s="1"/>
  <c r="G76" i="2"/>
  <c r="H76" i="2" s="1"/>
  <c r="V75" i="2"/>
  <c r="W75" i="2" s="1"/>
  <c r="Q75" i="2"/>
  <c r="R75" i="2" s="1"/>
  <c r="L75" i="2"/>
  <c r="M75" i="2" s="1"/>
  <c r="G75" i="2"/>
  <c r="H75" i="2" s="1"/>
  <c r="Q74" i="2"/>
  <c r="R74" i="2" s="1"/>
  <c r="V73" i="2"/>
  <c r="W73" i="2" s="1"/>
  <c r="Q73" i="2"/>
  <c r="R73" i="2" s="1"/>
  <c r="L73" i="2"/>
  <c r="M73" i="2" s="1"/>
  <c r="G73" i="2"/>
  <c r="H73" i="2" s="1"/>
  <c r="V72" i="2"/>
  <c r="W72" i="2" s="1"/>
  <c r="Q72" i="2"/>
  <c r="R72" i="2" s="1"/>
  <c r="L72" i="2"/>
  <c r="M72" i="2" s="1"/>
  <c r="G72" i="2"/>
  <c r="H72" i="2" s="1"/>
  <c r="V71" i="2"/>
  <c r="W71" i="2" s="1"/>
  <c r="Q71" i="2"/>
  <c r="R71" i="2" s="1"/>
  <c r="L71" i="2"/>
  <c r="M71" i="2" s="1"/>
  <c r="G71" i="2"/>
  <c r="H71" i="2" s="1"/>
  <c r="V70" i="2"/>
  <c r="W70" i="2" s="1"/>
  <c r="Q70" i="2"/>
  <c r="R70" i="2" s="1"/>
  <c r="L70" i="2"/>
  <c r="M70" i="2" s="1"/>
  <c r="G70" i="2"/>
  <c r="H70" i="2" s="1"/>
  <c r="V69" i="2"/>
  <c r="W69" i="2" s="1"/>
  <c r="Q69" i="2"/>
  <c r="R69" i="2" s="1"/>
  <c r="L69" i="2"/>
  <c r="M69" i="2" s="1"/>
  <c r="G69" i="2"/>
  <c r="H69" i="2" s="1"/>
  <c r="V68" i="2"/>
  <c r="W68" i="2" s="1"/>
  <c r="F68" i="2"/>
  <c r="V67" i="2"/>
  <c r="W67" i="2" s="1"/>
  <c r="Q67" i="2"/>
  <c r="R67" i="2" s="1"/>
  <c r="L67" i="2"/>
  <c r="M67" i="2" s="1"/>
  <c r="G67" i="2"/>
  <c r="H67" i="2" s="1"/>
  <c r="V65" i="2"/>
  <c r="W65" i="2" s="1"/>
  <c r="Q65" i="2"/>
  <c r="R65" i="2" s="1"/>
  <c r="V64" i="2"/>
  <c r="W64" i="2" s="1"/>
  <c r="Q64" i="2"/>
  <c r="R64" i="2" s="1"/>
  <c r="V63" i="2"/>
  <c r="W63" i="2" s="1"/>
  <c r="I63" i="2"/>
  <c r="H63" i="2"/>
  <c r="G63" i="2"/>
  <c r="F63" i="2"/>
  <c r="F59" i="2" s="1"/>
  <c r="V62" i="2"/>
  <c r="W62" i="2" s="1"/>
  <c r="Q62" i="2"/>
  <c r="R62" i="2" s="1"/>
  <c r="V61" i="2"/>
  <c r="W61" i="2" s="1"/>
  <c r="Q61" i="2"/>
  <c r="R61" i="2" s="1"/>
  <c r="I60" i="2"/>
  <c r="H60" i="2"/>
  <c r="G60" i="2"/>
  <c r="V59" i="2"/>
  <c r="W59" i="2" s="1"/>
  <c r="V57" i="2"/>
  <c r="W57" i="2" s="1"/>
  <c r="Q57" i="2"/>
  <c r="R57" i="2" s="1"/>
  <c r="L57" i="2"/>
  <c r="M57" i="2" s="1"/>
  <c r="G57" i="2"/>
  <c r="H57" i="2" s="1"/>
  <c r="V56" i="2"/>
  <c r="W56" i="2" s="1"/>
  <c r="Q56" i="2"/>
  <c r="R56" i="2" s="1"/>
  <c r="L56" i="2"/>
  <c r="M56" i="2" s="1"/>
  <c r="G56" i="2"/>
  <c r="H56" i="2" s="1"/>
  <c r="V55" i="2"/>
  <c r="W55" i="2" s="1"/>
  <c r="Q55" i="2"/>
  <c r="R55" i="2" s="1"/>
  <c r="L55" i="2"/>
  <c r="M55" i="2" s="1"/>
  <c r="G55" i="2"/>
  <c r="H55" i="2" s="1"/>
  <c r="V54" i="2"/>
  <c r="W54" i="2" s="1"/>
  <c r="Q54" i="2"/>
  <c r="R54" i="2" s="1"/>
  <c r="L54" i="2"/>
  <c r="M54" i="2" s="1"/>
  <c r="G54" i="2"/>
  <c r="H54" i="2" s="1"/>
  <c r="V53" i="2"/>
  <c r="W53" i="2" s="1"/>
  <c r="Q53" i="2"/>
  <c r="R53" i="2" s="1"/>
  <c r="L53" i="2"/>
  <c r="M53" i="2" s="1"/>
  <c r="G53" i="2"/>
  <c r="H53" i="2" s="1"/>
  <c r="V52" i="2"/>
  <c r="W52" i="2" s="1"/>
  <c r="Q52" i="2"/>
  <c r="R52" i="2" s="1"/>
  <c r="L52" i="2"/>
  <c r="M52" i="2" s="1"/>
  <c r="F52" i="2"/>
  <c r="V51" i="2"/>
  <c r="W51" i="2" s="1"/>
  <c r="Q51" i="2"/>
  <c r="R51" i="2" s="1"/>
  <c r="L51" i="2"/>
  <c r="M51" i="2" s="1"/>
  <c r="G51" i="2"/>
  <c r="H51" i="2" s="1"/>
  <c r="V50" i="2"/>
  <c r="W50" i="2" s="1"/>
  <c r="L50" i="2"/>
  <c r="M50" i="2" s="1"/>
  <c r="V49" i="2"/>
  <c r="W49" i="2" s="1"/>
  <c r="Q49" i="2"/>
  <c r="R49" i="2" s="1"/>
  <c r="L49" i="2"/>
  <c r="M49" i="2" s="1"/>
  <c r="G49" i="2"/>
  <c r="H49" i="2" s="1"/>
  <c r="V48" i="2"/>
  <c r="W48" i="2" s="1"/>
  <c r="Q48" i="2"/>
  <c r="R48" i="2" s="1"/>
  <c r="L48" i="2"/>
  <c r="M48" i="2" s="1"/>
  <c r="G48" i="2"/>
  <c r="H48" i="2" s="1"/>
  <c r="V47" i="2"/>
  <c r="W47" i="2" s="1"/>
  <c r="Q47" i="2"/>
  <c r="R47" i="2" s="1"/>
  <c r="L47" i="2"/>
  <c r="M47" i="2" s="1"/>
  <c r="G47" i="2"/>
  <c r="H47" i="2" s="1"/>
  <c r="V46" i="2"/>
  <c r="W46" i="2" s="1"/>
  <c r="Q46" i="2"/>
  <c r="R46" i="2" s="1"/>
  <c r="L46" i="2"/>
  <c r="M46" i="2" s="1"/>
  <c r="G46" i="2"/>
  <c r="H46" i="2" s="1"/>
  <c r="V45" i="2"/>
  <c r="W45" i="2" s="1"/>
  <c r="Q45" i="2"/>
  <c r="R45" i="2" s="1"/>
  <c r="L45" i="2"/>
  <c r="M45" i="2" s="1"/>
  <c r="G45" i="2"/>
  <c r="H45" i="2" s="1"/>
  <c r="V44" i="2"/>
  <c r="W44" i="2" s="1"/>
  <c r="Q44" i="2"/>
  <c r="R44" i="2" s="1"/>
  <c r="L44" i="2"/>
  <c r="M44" i="2" s="1"/>
  <c r="G44" i="2"/>
  <c r="H44" i="2" s="1"/>
  <c r="V43" i="2"/>
  <c r="W43" i="2" s="1"/>
  <c r="Q43" i="2"/>
  <c r="R43" i="2" s="1"/>
  <c r="L43" i="2"/>
  <c r="M43" i="2" s="1"/>
  <c r="G43" i="2"/>
  <c r="H43" i="2" s="1"/>
  <c r="V42" i="2"/>
  <c r="W42" i="2" s="1"/>
  <c r="Q42" i="2"/>
  <c r="R42" i="2" s="1"/>
  <c r="L42" i="2"/>
  <c r="M42" i="2" s="1"/>
  <c r="G42" i="2"/>
  <c r="H42" i="2" s="1"/>
  <c r="V41" i="2"/>
  <c r="W41" i="2" s="1"/>
  <c r="Q41" i="2"/>
  <c r="R41" i="2" s="1"/>
  <c r="L41" i="2"/>
  <c r="M41" i="2" s="1"/>
  <c r="G41" i="2"/>
  <c r="H41" i="2" s="1"/>
  <c r="V40" i="2"/>
  <c r="W40" i="2" s="1"/>
  <c r="Q40" i="2"/>
  <c r="R40" i="2" s="1"/>
  <c r="L40" i="2"/>
  <c r="M40" i="2" s="1"/>
  <c r="G40" i="2"/>
  <c r="H40" i="2" s="1"/>
  <c r="V39" i="2"/>
  <c r="W39" i="2" s="1"/>
  <c r="Q39" i="2"/>
  <c r="R39" i="2" s="1"/>
  <c r="L39" i="2"/>
  <c r="M39" i="2" s="1"/>
  <c r="F39" i="2"/>
  <c r="G39" i="2" s="1"/>
  <c r="H39" i="2" s="1"/>
  <c r="V38" i="2"/>
  <c r="W38" i="2" s="1"/>
  <c r="Q38" i="2"/>
  <c r="R38" i="2" s="1"/>
  <c r="L38" i="2"/>
  <c r="M38" i="2" s="1"/>
  <c r="G38" i="2"/>
  <c r="H38" i="2" s="1"/>
  <c r="V36" i="2"/>
  <c r="W36" i="2" s="1"/>
  <c r="Q36" i="2"/>
  <c r="R36" i="2" s="1"/>
  <c r="L36" i="2"/>
  <c r="M36" i="2" s="1"/>
  <c r="G36" i="2"/>
  <c r="H36" i="2" s="1"/>
  <c r="Q35" i="2"/>
  <c r="R35" i="2" s="1"/>
  <c r="L35" i="2"/>
  <c r="M35" i="2" s="1"/>
  <c r="L34" i="2"/>
  <c r="M34" i="2" s="1"/>
  <c r="L33" i="2"/>
  <c r="M33" i="2" s="1"/>
  <c r="V31" i="2"/>
  <c r="W31" i="2" s="1"/>
  <c r="Q31" i="2"/>
  <c r="R31" i="2" s="1"/>
  <c r="L31" i="2"/>
  <c r="M31" i="2" s="1"/>
  <c r="G31" i="2"/>
  <c r="H31" i="2" s="1"/>
  <c r="V30" i="2"/>
  <c r="W30" i="2" s="1"/>
  <c r="Q30" i="2"/>
  <c r="R30" i="2" s="1"/>
  <c r="L30" i="2"/>
  <c r="M30" i="2" s="1"/>
  <c r="G30" i="2"/>
  <c r="H30" i="2" s="1"/>
  <c r="V29" i="2"/>
  <c r="W29" i="2" s="1"/>
  <c r="Q29" i="2"/>
  <c r="R29" i="2" s="1"/>
  <c r="L29" i="2"/>
  <c r="M29" i="2" s="1"/>
  <c r="G29" i="2"/>
  <c r="H29" i="2" s="1"/>
  <c r="V28" i="2"/>
  <c r="W28" i="2" s="1"/>
  <c r="Q28" i="2"/>
  <c r="R28" i="2" s="1"/>
  <c r="L28" i="2"/>
  <c r="M28" i="2" s="1"/>
  <c r="G28" i="2"/>
  <c r="H28" i="2" s="1"/>
  <c r="V27" i="2"/>
  <c r="W27" i="2" s="1"/>
  <c r="Q27" i="2"/>
  <c r="R27" i="2" s="1"/>
  <c r="L27" i="2"/>
  <c r="M27" i="2" s="1"/>
  <c r="G27" i="2"/>
  <c r="H27" i="2" s="1"/>
  <c r="V26" i="2"/>
  <c r="W26" i="2" s="1"/>
  <c r="Q26" i="2"/>
  <c r="R26" i="2" s="1"/>
  <c r="L26" i="2"/>
  <c r="M26" i="2" s="1"/>
  <c r="G26" i="2"/>
  <c r="H26" i="2" s="1"/>
  <c r="V25" i="2"/>
  <c r="W25" i="2" s="1"/>
  <c r="Q25" i="2"/>
  <c r="R25" i="2" s="1"/>
  <c r="G25" i="2"/>
  <c r="H25" i="2" s="1"/>
  <c r="V24" i="2"/>
  <c r="W24" i="2" s="1"/>
  <c r="Q24" i="2"/>
  <c r="R24" i="2" s="1"/>
  <c r="L24" i="2"/>
  <c r="M24" i="2" s="1"/>
  <c r="G24" i="2"/>
  <c r="H24" i="2" s="1"/>
  <c r="V23" i="2"/>
  <c r="W23" i="2" s="1"/>
  <c r="L23" i="2"/>
  <c r="M23" i="2" s="1"/>
  <c r="G23" i="2"/>
  <c r="H23" i="2" s="1"/>
  <c r="V22" i="2"/>
  <c r="W22" i="2" s="1"/>
  <c r="F22" i="2"/>
  <c r="V21" i="2"/>
  <c r="W21" i="2" s="1"/>
  <c r="Q21" i="2"/>
  <c r="R21" i="2" s="1"/>
  <c r="L21" i="2"/>
  <c r="M21" i="2" s="1"/>
  <c r="G21" i="2"/>
  <c r="H21" i="2" s="1"/>
  <c r="V20" i="2"/>
  <c r="W20" i="2" s="1"/>
  <c r="Q20" i="2"/>
  <c r="R20" i="2" s="1"/>
  <c r="L20" i="2"/>
  <c r="M20" i="2" s="1"/>
  <c r="G20" i="2"/>
  <c r="H20" i="2" s="1"/>
  <c r="V19" i="2"/>
  <c r="W19" i="2" s="1"/>
  <c r="L19" i="2"/>
  <c r="M19" i="2" s="1"/>
  <c r="F19" i="2"/>
  <c r="V18" i="2"/>
  <c r="W18" i="2" s="1"/>
  <c r="Q18" i="2"/>
  <c r="R18" i="2" s="1"/>
  <c r="L18" i="2"/>
  <c r="M18" i="2" s="1"/>
  <c r="G18" i="2"/>
  <c r="H18" i="2" s="1"/>
  <c r="V17" i="2"/>
  <c r="W17" i="2" s="1"/>
  <c r="Q17" i="2"/>
  <c r="R17" i="2" s="1"/>
  <c r="L17" i="2"/>
  <c r="M17" i="2" s="1"/>
  <c r="G17" i="2"/>
  <c r="H17" i="2" s="1"/>
  <c r="V16" i="2"/>
  <c r="W16" i="2" s="1"/>
  <c r="V15" i="2"/>
  <c r="W15" i="2" s="1"/>
  <c r="Q15" i="2"/>
  <c r="R15" i="2" s="1"/>
  <c r="L15" i="2"/>
  <c r="M15" i="2" s="1"/>
  <c r="G15" i="2"/>
  <c r="H15" i="2" s="1"/>
  <c r="V14" i="2"/>
  <c r="W14" i="2" s="1"/>
  <c r="V13" i="2"/>
  <c r="W13" i="2" s="1"/>
  <c r="Q14" i="2"/>
  <c r="R14" i="2" s="1"/>
  <c r="L13" i="2"/>
  <c r="M13" i="2" s="1"/>
  <c r="F13" i="2"/>
  <c r="G14" i="2"/>
  <c r="H14" i="2" s="1"/>
  <c r="V12" i="2"/>
  <c r="W12" i="2" s="1"/>
  <c r="Q12" i="2"/>
  <c r="R12" i="2" s="1"/>
  <c r="L12" i="2"/>
  <c r="M12" i="2" s="1"/>
  <c r="G12" i="2"/>
  <c r="H12" i="2" s="1"/>
  <c r="V11" i="2"/>
  <c r="W11" i="2" s="1"/>
  <c r="Q11" i="2"/>
  <c r="R11" i="2" s="1"/>
  <c r="L11" i="2"/>
  <c r="M11" i="2" s="1"/>
  <c r="G11" i="2"/>
  <c r="H11" i="2" s="1"/>
  <c r="V10" i="2"/>
  <c r="W10" i="2" s="1"/>
  <c r="F10" i="2"/>
  <c r="G10" i="2"/>
  <c r="H10" i="2" s="1"/>
  <c r="V9" i="2"/>
  <c r="W9" i="2" s="1"/>
  <c r="Q9" i="2"/>
  <c r="R9" i="2" s="1"/>
  <c r="L9" i="2"/>
  <c r="M9" i="2" s="1"/>
  <c r="G9" i="2"/>
  <c r="H9" i="2" s="1"/>
  <c r="V8" i="2"/>
  <c r="W8" i="2" s="1"/>
  <c r="Q8" i="2"/>
  <c r="R8" i="2" s="1"/>
  <c r="L8" i="2"/>
  <c r="M8" i="2" s="1"/>
  <c r="G8" i="2"/>
  <c r="H8" i="2" s="1"/>
  <c r="V7" i="2"/>
  <c r="W7" i="2" s="1"/>
  <c r="Q7" i="2"/>
  <c r="R7" i="2" s="1"/>
  <c r="L7" i="2"/>
  <c r="M7" i="2" s="1"/>
  <c r="G7" i="2"/>
  <c r="H7" i="2" s="1"/>
  <c r="W6" i="2"/>
  <c r="L6" i="2"/>
  <c r="M6" i="2" s="1"/>
  <c r="G6" i="2"/>
  <c r="H6" i="2" s="1"/>
  <c r="F5" i="2"/>
  <c r="P47" i="11" l="1"/>
  <c r="C3" i="13"/>
  <c r="E17" i="12"/>
  <c r="E20" i="12" s="1"/>
  <c r="G15" i="12"/>
  <c r="E47" i="5"/>
  <c r="G47" i="5" s="1"/>
  <c r="H47" i="5" s="1"/>
  <c r="G27" i="5"/>
  <c r="H29" i="5"/>
  <c r="O59" i="9"/>
  <c r="Q59" i="9" s="1"/>
  <c r="R59" i="9" s="1"/>
  <c r="D47" i="11"/>
  <c r="C47" i="11"/>
  <c r="J47" i="11"/>
  <c r="T80" i="11"/>
  <c r="C80" i="11"/>
  <c r="O80" i="11"/>
  <c r="D80" i="11"/>
  <c r="L3" i="11"/>
  <c r="M3" i="11" s="1"/>
  <c r="Q3" i="11"/>
  <c r="R3" i="11" s="1"/>
  <c r="G3" i="11"/>
  <c r="H3" i="11" s="1"/>
  <c r="F59" i="9"/>
  <c r="G59" i="9" s="1"/>
  <c r="H59" i="9" s="1"/>
  <c r="G74" i="2"/>
  <c r="H74" i="2" s="1"/>
  <c r="G5" i="2"/>
  <c r="H5" i="2" s="1"/>
  <c r="Q60" i="2"/>
  <c r="R60" i="2" s="1"/>
  <c r="Q82" i="2"/>
  <c r="R82" i="2" s="1"/>
  <c r="G132" i="2"/>
  <c r="H132" i="2" s="1"/>
  <c r="G170" i="2"/>
  <c r="H170" i="2" s="1"/>
  <c r="G16" i="2"/>
  <c r="H16" i="2" s="1"/>
  <c r="Q68" i="2"/>
  <c r="R68" i="2" s="1"/>
  <c r="Q104" i="2"/>
  <c r="R104" i="2" s="1"/>
  <c r="L154" i="2"/>
  <c r="M154" i="2" s="1"/>
  <c r="G13" i="2"/>
  <c r="H13" i="2" s="1"/>
  <c r="Q16" i="2"/>
  <c r="R16" i="2" s="1"/>
  <c r="F130" i="2"/>
  <c r="F129" i="2" s="1"/>
  <c r="G129" i="2" s="1"/>
  <c r="H129" i="2" s="1"/>
  <c r="G87" i="2"/>
  <c r="H87" i="2" s="1"/>
  <c r="F4" i="2"/>
  <c r="F3" i="2" s="1"/>
  <c r="L156" i="2"/>
  <c r="M156" i="2" s="1"/>
  <c r="G146" i="2"/>
  <c r="H146" i="2" s="1"/>
  <c r="G81" i="2"/>
  <c r="H81" i="2" s="1"/>
  <c r="L14" i="2"/>
  <c r="M14" i="2" s="1"/>
  <c r="G19" i="2"/>
  <c r="H19" i="2" s="1"/>
  <c r="Q19" i="2"/>
  <c r="R19" i="2" s="1"/>
  <c r="F103" i="2"/>
  <c r="G103" i="2" s="1"/>
  <c r="H103" i="2" s="1"/>
  <c r="G140" i="2"/>
  <c r="H140" i="2" s="1"/>
  <c r="L146" i="2"/>
  <c r="M146" i="2" s="1"/>
  <c r="F164" i="2"/>
  <c r="G164" i="2" s="1"/>
  <c r="H164" i="2" s="1"/>
  <c r="Q115" i="2"/>
  <c r="R115" i="2" s="1"/>
  <c r="Q66" i="2"/>
  <c r="R66" i="2" s="1"/>
  <c r="Q50" i="2"/>
  <c r="R50" i="2" s="1"/>
  <c r="L140" i="2"/>
  <c r="M140" i="2" s="1"/>
  <c r="L164" i="2"/>
  <c r="M164" i="2" s="1"/>
  <c r="L68" i="2"/>
  <c r="M68" i="2" s="1"/>
  <c r="F82" i="2"/>
  <c r="G82" i="2" s="1"/>
  <c r="H82" i="2" s="1"/>
  <c r="Q90" i="2"/>
  <c r="R90" i="2" s="1"/>
  <c r="Q96" i="2"/>
  <c r="R96" i="2" s="1"/>
  <c r="U16" i="9"/>
  <c r="V17" i="9"/>
  <c r="W17" i="9" s="1"/>
  <c r="L17" i="9"/>
  <c r="M17" i="9" s="1"/>
  <c r="K47" i="11"/>
  <c r="L25" i="11"/>
  <c r="M25" i="11" s="1"/>
  <c r="P82" i="11"/>
  <c r="Q82" i="11" s="1"/>
  <c r="R82" i="11" s="1"/>
  <c r="Q83" i="11"/>
  <c r="R83" i="11" s="1"/>
  <c r="G59" i="11"/>
  <c r="H59" i="11" s="1"/>
  <c r="F80" i="11"/>
  <c r="G80" i="11" s="1"/>
  <c r="H80" i="11" s="1"/>
  <c r="P80" i="11"/>
  <c r="Q80" i="11" s="1"/>
  <c r="R80" i="11" s="1"/>
  <c r="Q59" i="11"/>
  <c r="R59" i="11" s="1"/>
  <c r="K59" i="11"/>
  <c r="K84" i="11"/>
  <c r="L84" i="11" s="1"/>
  <c r="M84" i="11" s="1"/>
  <c r="L70" i="11"/>
  <c r="M70" i="11" s="1"/>
  <c r="U84" i="11"/>
  <c r="V84" i="11" s="1"/>
  <c r="W84" i="11" s="1"/>
  <c r="V70" i="11"/>
  <c r="W70" i="11" s="1"/>
  <c r="V83" i="11"/>
  <c r="W83" i="11" s="1"/>
  <c r="Q47" i="11"/>
  <c r="R47" i="11" s="1"/>
  <c r="L83" i="11"/>
  <c r="M83" i="11" s="1"/>
  <c r="F47" i="11"/>
  <c r="G47" i="11" s="1"/>
  <c r="H47" i="11" s="1"/>
  <c r="G25" i="11"/>
  <c r="H25" i="11" s="1"/>
  <c r="U47" i="11"/>
  <c r="V47" i="11" s="1"/>
  <c r="W47" i="11" s="1"/>
  <c r="V25" i="11"/>
  <c r="W25" i="11" s="1"/>
  <c r="Q25" i="11"/>
  <c r="R25" i="11" s="1"/>
  <c r="F82" i="11"/>
  <c r="G82" i="11" s="1"/>
  <c r="H82" i="11" s="1"/>
  <c r="G83" i="11"/>
  <c r="H83" i="11" s="1"/>
  <c r="U59" i="11"/>
  <c r="P17" i="12"/>
  <c r="P20" i="12" s="1"/>
  <c r="Q15" i="12"/>
  <c r="K17" i="12"/>
  <c r="K20" i="12" s="1"/>
  <c r="U20" i="12"/>
  <c r="V20" i="12" s="1"/>
  <c r="W20" i="12" s="1"/>
  <c r="V17" i="12"/>
  <c r="W17" i="12" s="1"/>
  <c r="V5" i="2"/>
  <c r="W5" i="2" s="1"/>
  <c r="M4" i="2"/>
  <c r="Q10" i="2"/>
  <c r="R10" i="2" s="1"/>
  <c r="G22" i="2"/>
  <c r="H22" i="2" s="1"/>
  <c r="L22" i="2"/>
  <c r="M22" i="2" s="1"/>
  <c r="L5" i="2"/>
  <c r="M5" i="2" s="1"/>
  <c r="L16" i="2"/>
  <c r="M16" i="2" s="1"/>
  <c r="Q5" i="2"/>
  <c r="R5" i="2" s="1"/>
  <c r="L10" i="2"/>
  <c r="M10" i="2" s="1"/>
  <c r="Q13" i="2"/>
  <c r="R13" i="2" s="1"/>
  <c r="F34" i="2"/>
  <c r="G35" i="2"/>
  <c r="H35" i="2" s="1"/>
  <c r="V170" i="2"/>
  <c r="W170" i="2" s="1"/>
  <c r="V164" i="2"/>
  <c r="W164" i="2" s="1"/>
  <c r="G59" i="2"/>
  <c r="H59" i="2" s="1"/>
  <c r="Q63" i="2"/>
  <c r="R63" i="2" s="1"/>
  <c r="Q119" i="2"/>
  <c r="R119" i="2" s="1"/>
  <c r="Q6" i="2"/>
  <c r="R6" i="2" s="1"/>
  <c r="G68" i="2"/>
  <c r="H68" i="2" s="1"/>
  <c r="F50" i="2"/>
  <c r="G50" i="2" s="1"/>
  <c r="H50" i="2" s="1"/>
  <c r="G52" i="2"/>
  <c r="H52" i="2" s="1"/>
  <c r="M114" i="2"/>
  <c r="V81" i="2"/>
  <c r="W81" i="2" s="1"/>
  <c r="V35" i="2"/>
  <c r="W35" i="2" s="1"/>
  <c r="L130" i="2"/>
  <c r="M130" i="2" s="1"/>
  <c r="L115" i="2"/>
  <c r="M115" i="2" s="1"/>
  <c r="V66" i="2"/>
  <c r="W66" i="2" s="1"/>
  <c r="Q34" i="2"/>
  <c r="R34" i="2" s="1"/>
  <c r="G162" i="2"/>
  <c r="H162" i="2" s="1"/>
  <c r="F154" i="2"/>
  <c r="G154" i="2" s="1"/>
  <c r="H154" i="2" s="1"/>
  <c r="L103" i="2"/>
  <c r="M103" i="2" s="1"/>
  <c r="V129" i="2"/>
  <c r="W129" i="2" s="1"/>
  <c r="V130" i="2"/>
  <c r="W130" i="2" s="1"/>
  <c r="G96" i="2"/>
  <c r="H96" i="2" s="1"/>
  <c r="Q109" i="2"/>
  <c r="R109" i="2" s="1"/>
  <c r="V103" i="2"/>
  <c r="W103" i="2" s="1"/>
  <c r="Q114" i="2"/>
  <c r="R114" i="2" s="1"/>
  <c r="V115" i="2"/>
  <c r="W115" i="2" s="1"/>
  <c r="G119" i="2"/>
  <c r="H119" i="2" s="1"/>
  <c r="L81" i="2"/>
  <c r="M81" i="2" s="1"/>
  <c r="L82" i="2"/>
  <c r="M82" i="2" s="1"/>
  <c r="L87" i="2"/>
  <c r="M87" i="2" s="1"/>
  <c r="Q162" i="2"/>
  <c r="R162" i="2" s="1"/>
  <c r="Q23" i="2"/>
  <c r="R23" i="2" s="1"/>
  <c r="Q22" i="2"/>
  <c r="R22" i="2" s="1"/>
  <c r="V60" i="2"/>
  <c r="W60" i="2" s="1"/>
  <c r="G104" i="2"/>
  <c r="H104" i="2" s="1"/>
  <c r="G115" i="2"/>
  <c r="H115" i="2" s="1"/>
  <c r="Q146" i="2"/>
  <c r="R146" i="2" s="1"/>
  <c r="Q164" i="2"/>
  <c r="R164" i="2" s="1"/>
  <c r="Q165" i="2"/>
  <c r="R165" i="2" s="1"/>
  <c r="L66" i="2"/>
  <c r="M66" i="2" s="1"/>
  <c r="G17" i="12" l="1"/>
  <c r="H15" i="12"/>
  <c r="G34" i="5"/>
  <c r="H34" i="5" s="1"/>
  <c r="H27" i="5"/>
  <c r="G130" i="2"/>
  <c r="H130" i="2" s="1"/>
  <c r="F163" i="2"/>
  <c r="G163" i="2" s="1"/>
  <c r="H163" i="2" s="1"/>
  <c r="L47" i="11"/>
  <c r="M47" i="11" s="1"/>
  <c r="F66" i="2"/>
  <c r="F58" i="2" s="1"/>
  <c r="G58" i="2" s="1"/>
  <c r="H58" i="2" s="1"/>
  <c r="Q103" i="2"/>
  <c r="R103" i="2" s="1"/>
  <c r="Q33" i="2"/>
  <c r="R33" i="2" s="1"/>
  <c r="V4" i="2"/>
  <c r="W4" i="2" s="1"/>
  <c r="G3" i="2"/>
  <c r="H3" i="2" s="1"/>
  <c r="K59" i="9"/>
  <c r="L59" i="9" s="1"/>
  <c r="M59" i="9" s="1"/>
  <c r="L16" i="9"/>
  <c r="M16" i="9" s="1"/>
  <c r="V16" i="9"/>
  <c r="W16" i="9" s="1"/>
  <c r="U59" i="9"/>
  <c r="V59" i="9" s="1"/>
  <c r="W59" i="9" s="1"/>
  <c r="K80" i="11"/>
  <c r="L80" i="11" s="1"/>
  <c r="M80" i="11" s="1"/>
  <c r="L59" i="11"/>
  <c r="M59" i="11" s="1"/>
  <c r="V59" i="11"/>
  <c r="W59" i="11" s="1"/>
  <c r="U80" i="11"/>
  <c r="V80" i="11" s="1"/>
  <c r="W80" i="11" s="1"/>
  <c r="K82" i="11"/>
  <c r="L82" i="11" s="1"/>
  <c r="M82" i="11" s="1"/>
  <c r="U82" i="11"/>
  <c r="V82" i="11" s="1"/>
  <c r="W82" i="11" s="1"/>
  <c r="M15" i="12"/>
  <c r="L17" i="12"/>
  <c r="Q17" i="12"/>
  <c r="R15" i="12"/>
  <c r="G4" i="2"/>
  <c r="H4" i="2" s="1"/>
  <c r="Q59" i="2"/>
  <c r="R59" i="2" s="1"/>
  <c r="Q130" i="2"/>
  <c r="R130" i="2" s="1"/>
  <c r="Q129" i="2"/>
  <c r="R129" i="2" s="1"/>
  <c r="L3" i="2"/>
  <c r="M3" i="2" s="1"/>
  <c r="L163" i="2"/>
  <c r="M163" i="2" s="1"/>
  <c r="V163" i="2"/>
  <c r="W163" i="2" s="1"/>
  <c r="W3" i="2"/>
  <c r="V58" i="2"/>
  <c r="W58" i="2" s="1"/>
  <c r="V34" i="2"/>
  <c r="W34" i="2" s="1"/>
  <c r="L129" i="2"/>
  <c r="M129" i="2" s="1"/>
  <c r="G34" i="2"/>
  <c r="H34" i="2" s="1"/>
  <c r="F33" i="2"/>
  <c r="G20" i="12" l="1"/>
  <c r="H20" i="12" s="1"/>
  <c r="H17" i="12"/>
  <c r="G66" i="2"/>
  <c r="H66" i="2" s="1"/>
  <c r="M17" i="12"/>
  <c r="L20" i="12"/>
  <c r="M20" i="12" s="1"/>
  <c r="Q20" i="12"/>
  <c r="R20" i="12" s="1"/>
  <c r="R17" i="12"/>
  <c r="G33" i="2"/>
  <c r="H33" i="2" s="1"/>
  <c r="F32" i="2"/>
  <c r="Q4" i="2"/>
  <c r="R4" i="2" s="1"/>
  <c r="L58" i="2"/>
  <c r="M58" i="2" s="1"/>
  <c r="V33" i="2"/>
  <c r="W33" i="2" s="1"/>
  <c r="Q3" i="2" l="1"/>
  <c r="R3" i="2" s="1"/>
  <c r="Q163" i="2"/>
  <c r="R163" i="2" s="1"/>
  <c r="F144" i="2"/>
  <c r="G32" i="2"/>
  <c r="H32" i="2" s="1"/>
  <c r="Q58" i="2"/>
  <c r="R58" i="2" s="1"/>
  <c r="V32" i="2"/>
  <c r="W32" i="2" s="1"/>
  <c r="L32" i="2"/>
  <c r="M32" i="2" s="1"/>
  <c r="V144" i="2" l="1"/>
  <c r="W144" i="2" s="1"/>
  <c r="V172" i="2"/>
  <c r="W172" i="2" s="1"/>
  <c r="L172" i="2"/>
  <c r="M172" i="2" s="1"/>
  <c r="L144" i="2"/>
  <c r="M144" i="2" s="1"/>
  <c r="Q32" i="2"/>
  <c r="R32" i="2" s="1"/>
  <c r="G144" i="2"/>
  <c r="H144" i="2" s="1"/>
  <c r="F172" i="2"/>
  <c r="G172" i="2" s="1"/>
  <c r="H172" i="2" s="1"/>
  <c r="F145" i="2"/>
  <c r="L145" i="2" l="1"/>
  <c r="M145" i="2" s="1"/>
  <c r="G145" i="2"/>
  <c r="H145" i="2" s="1"/>
  <c r="F153" i="2"/>
  <c r="F173" i="2" s="1"/>
  <c r="Q172" i="2"/>
  <c r="R172" i="2" s="1"/>
  <c r="Q144" i="2"/>
  <c r="R144" i="2" s="1"/>
  <c r="V145" i="2"/>
  <c r="W145" i="2" s="1"/>
  <c r="V173" i="2" l="1"/>
  <c r="W173" i="2" s="1"/>
  <c r="V153" i="2"/>
  <c r="W153" i="2" s="1"/>
  <c r="Q145" i="2"/>
  <c r="R145" i="2" s="1"/>
  <c r="G173" i="2"/>
  <c r="H173" i="2" s="1"/>
  <c r="G153" i="2"/>
  <c r="H153" i="2" s="1"/>
  <c r="L153" i="2"/>
  <c r="M153" i="2" s="1"/>
  <c r="M173" i="2"/>
  <c r="Q173" i="2" l="1"/>
  <c r="R173" i="2" s="1"/>
  <c r="Q153" i="2"/>
  <c r="R153" i="2" s="1"/>
  <c r="V7" i="5"/>
  <c r="W7" i="5" s="1"/>
  <c r="T5" i="5"/>
  <c r="V5" i="5" s="1"/>
  <c r="W5" i="5" s="1"/>
  <c r="V6" i="5"/>
  <c r="W6" i="5" s="1"/>
  <c r="T19" i="5" l="1"/>
  <c r="V19" i="5" l="1"/>
  <c r="W19" i="5" s="1"/>
  <c r="T47" i="5"/>
  <c r="V47" i="5" l="1"/>
  <c r="W47" i="5" s="1"/>
  <c r="T52" i="5"/>
  <c r="V52" i="5" s="1"/>
  <c r="W52" i="5" s="1"/>
</calcChain>
</file>

<file path=xl/sharedStrings.xml><?xml version="1.0" encoding="utf-8"?>
<sst xmlns="http://schemas.openxmlformats.org/spreadsheetml/2006/main" count="1440" uniqueCount="909">
  <si>
    <t>Kods</t>
  </si>
  <si>
    <r>
      <t>Nosaukums</t>
    </r>
    <r>
      <rPr>
        <vertAlign val="superscript"/>
        <sz val="12"/>
        <rFont val="Times New Roman"/>
        <family val="1"/>
      </rPr>
      <t>1</t>
    </r>
  </si>
  <si>
    <t>2024.gada izpilde</t>
  </si>
  <si>
    <t>2025.gada
 plāns</t>
  </si>
  <si>
    <t>Plāns periodam no 2025. gada sākuma līdz I ceturkšņa beigām</t>
  </si>
  <si>
    <t>Izpilde periodā no 2025. gada sākuma līdz I ceturkšņa beigām</t>
  </si>
  <si>
    <t>Novirze no 2025. gada pārskata perioda plāna, euro</t>
  </si>
  <si>
    <t>Novirze no 2025. gada pārskata perioda plāna, %</t>
  </si>
  <si>
    <r>
      <t>Skaidrojumi</t>
    </r>
    <r>
      <rPr>
        <vertAlign val="superscript"/>
        <sz val="12"/>
        <rFont val="Times New Roman"/>
        <family val="1"/>
      </rPr>
      <t>2</t>
    </r>
  </si>
  <si>
    <t>Plāns periodam no 2025. gada sākuma līdz II ceturkšņa beigām</t>
  </si>
  <si>
    <t>Izpilde periodā no 2025. gada sākuma līdz II ceturkšņa beigām</t>
  </si>
  <si>
    <t>Plāns periodam no 2025. gada sākuma līdz III ceturkšņa beigām</t>
  </si>
  <si>
    <t>Izpilde periodā no 2025. gada sākuma līdz III ceturkšņa beigām</t>
  </si>
  <si>
    <t>Plāns periodam no 2025. gada sākuma līdz IV ceturkšņa beigām</t>
  </si>
  <si>
    <t>Izpilde periodā no 2025. gada sākuma līdz IV ceturkšņa beigām</t>
  </si>
  <si>
    <t>A</t>
  </si>
  <si>
    <t>I   IEŅĒMUMI NO SAIMNIECISKĀS DARBĪBAS KOPĀ</t>
  </si>
  <si>
    <t>0010</t>
  </si>
  <si>
    <t>Valsts budžeta līdzekļi</t>
  </si>
  <si>
    <t>00110</t>
  </si>
  <si>
    <t>Valsts apmaksātie veselības aprūpes pakalpojumi</t>
  </si>
  <si>
    <t>00111</t>
  </si>
  <si>
    <t xml:space="preserve">Stacionārai palīdzībai </t>
  </si>
  <si>
    <t>00112</t>
  </si>
  <si>
    <t>Pacientu iemaksas par atbrīvotajām kategorijām (stacionāram)</t>
  </si>
  <si>
    <t>00113</t>
  </si>
  <si>
    <t>Ambulatorai palīdzībai</t>
  </si>
  <si>
    <t>00114</t>
  </si>
  <si>
    <t>Pacientu iemaksas par atbrīvotajām kategorijām (ambulatorai p.)</t>
  </si>
  <si>
    <t>00120</t>
  </si>
  <si>
    <t>Valsts apmaksātie sociālie pakalpojumi</t>
  </si>
  <si>
    <t>00121</t>
  </si>
  <si>
    <t>Sociālās aprūpes pakalpojumi</t>
  </si>
  <si>
    <t>00122</t>
  </si>
  <si>
    <t>Sociālās rehabilitācijas pakalpojumi</t>
  </si>
  <si>
    <t>00130</t>
  </si>
  <si>
    <t>Ieņēmumi par izglītojošo un zinātnisko darbību</t>
  </si>
  <si>
    <t>00131</t>
  </si>
  <si>
    <t>Ieņēmumi par rezidentu apmācību</t>
  </si>
  <si>
    <t>00132</t>
  </si>
  <si>
    <t xml:space="preserve">Ieņēmumi par valsts finansēto zinātnisko darbību </t>
  </si>
  <si>
    <t>00140</t>
  </si>
  <si>
    <t>Citi ieņēmumi</t>
  </si>
  <si>
    <t>00141</t>
  </si>
  <si>
    <r>
      <t>Citi ieņēmumi (piem.reģistru uztur., retajiem medikam. utt.)</t>
    </r>
    <r>
      <rPr>
        <vertAlign val="superscript"/>
        <sz val="12"/>
        <rFont val="Times New Roman"/>
        <family val="1"/>
      </rPr>
      <t>3</t>
    </r>
  </si>
  <si>
    <t>00142</t>
  </si>
  <si>
    <r>
      <t>Valsts pārvaldes deleģēto uzdevumu veikšana</t>
    </r>
    <r>
      <rPr>
        <vertAlign val="superscript"/>
        <sz val="12"/>
        <rFont val="Times New Roman"/>
        <family val="1"/>
      </rPr>
      <t>4</t>
    </r>
    <r>
      <rPr>
        <sz val="12"/>
        <rFont val="Times New Roman"/>
        <family val="1"/>
      </rPr>
      <t xml:space="preserve"> Bezmaksas medikamenti</t>
    </r>
  </si>
  <si>
    <t>0020</t>
  </si>
  <si>
    <t>Ieņēmumi no pašvaldības budžeta</t>
  </si>
  <si>
    <t>0021</t>
  </si>
  <si>
    <t>Veselības aprūpes pakalpojumiem</t>
  </si>
  <si>
    <t>0022</t>
  </si>
  <si>
    <t>Sociāliem pakalpojumiem</t>
  </si>
  <si>
    <t>0030</t>
  </si>
  <si>
    <t>Uzņēmuma nopelnītie līdzekļi</t>
  </si>
  <si>
    <t>2025.gada II ceturksnī maksas operācijas veiktas vairāk kā plānots.</t>
  </si>
  <si>
    <t>EKK 00313 palielinājies pret plānoto. 2025. gadā nomniekam Slimību profilakses un kontroles centrs tika veikta siltummezgla izbūve objektā Duntes ielā 22, korpuss 5 par kopējo summu 17 101 eur.</t>
  </si>
  <si>
    <t>00311</t>
  </si>
  <si>
    <t>Maksas veselības aprūpes pakalpojumi</t>
  </si>
  <si>
    <t>00312</t>
  </si>
  <si>
    <t>Maksas sociālie pakalpojumi</t>
  </si>
  <si>
    <t>00313</t>
  </si>
  <si>
    <t>Pārējie saimnieciskās darbības ieņēmumi</t>
  </si>
  <si>
    <t>00314</t>
  </si>
  <si>
    <t>Ieņēmumi no nomas</t>
  </si>
  <si>
    <t>0040</t>
  </si>
  <si>
    <t>Saņemtās pacientu iemaksas (stacionāram)</t>
  </si>
  <si>
    <t>0050</t>
  </si>
  <si>
    <t>Saņemtās pacientu iemaksas (ambulatorai p.)</t>
  </si>
  <si>
    <t>0060</t>
  </si>
  <si>
    <t>Ziedojumi</t>
  </si>
  <si>
    <t>0070</t>
  </si>
  <si>
    <t>Pacienta līdzmaksājums par operāciju</t>
  </si>
  <si>
    <t>0080</t>
  </si>
  <si>
    <t>Citi ieņēmumi (Ieņēmumi no bez atlīdzības saņemtajām precēm u.tml.)</t>
  </si>
  <si>
    <t xml:space="preserve"> </t>
  </si>
  <si>
    <t>Precizēti 2025. gada Investīciju ieņēmumi par summu 142 151 eur, Pārvērtēšanas rezerves pamatlīdzekļiem par 58 840 eur.</t>
  </si>
  <si>
    <t>B</t>
  </si>
  <si>
    <t>II  IZDEVUMI SAIMNIECISKĀS DARBĪBAS NODROŠINĀŠANAI KOPĀ</t>
  </si>
  <si>
    <t>1000</t>
  </si>
  <si>
    <t>ATLĪDZĪBA</t>
  </si>
  <si>
    <t>Atalgojums - kopā</t>
  </si>
  <si>
    <t>Mēneša amatalga</t>
  </si>
  <si>
    <t>Nekorekti sastādīts plāns EKK 1111. Izdevumi paredzēti EKK 1113.</t>
  </si>
  <si>
    <t xml:space="preserve">No 10.10.2025.Slimnīcas valdes funkcijas pilda 3 valdes locekļi </t>
  </si>
  <si>
    <t>Mēneša amatalga valdei</t>
  </si>
  <si>
    <t>Mēneša amatalga padomei</t>
  </si>
  <si>
    <t>Mēneša amatalga pārējiem darbiniekiem</t>
  </si>
  <si>
    <t>Piemaksas, prēmijas un naudas balvas</t>
  </si>
  <si>
    <t>EKK 1147-vasaras mēnešos darbinieki vairāk izmanto atvaļinājuma dienas. Slimnīcā tiek maksātas piemaksas par papildu darbu uz aizvietošanas brīdi.       EKK 1148-2025. gadā tika samazinātas naudas balvas māsām Māsu dienā.</t>
  </si>
  <si>
    <t>EKK 1145 palielinājies par 303 027 jeb 17.50%. Palielinājušās piemaksas par mājas dežūru izsaukumiem 11 244 eur, ambulatorajiem pakalpojumiem 11 016 eur, ambulatorajiem maksas pacientiem 20 685 eur,  dialīzes aparāta apkalpošanu 116 eur, Cell Saver aparāta lietošanu 675 eur,  sarežgītām mugurkaulu fiksācijas operācijām 5 880 eur, akūtu pacientu aprūpi 754 eur, dežūrām ārpus darba laika 17 605 eur, infekciozu pacienntu aprūpi nodaļā 229 eur, izgulējumu pacientu aprūpi nodaļā 339 eur, onkoloģisku pacientu aprūpi 918 eur, spinālo pacientu aprūpi 13 641 eur,  piemaksas no maksas pakalpojumiem 136 043 eur, atbildību ar datorprogrammu 51 eur,  darba intensitāti 79 956 eur, faktiski nostrādātajām stundām 75 883 eur,  rezidentu praktisko pedagoģisko apmācību 42 348 eur, deģeratīvajām operācijām 64 660 eur.</t>
  </si>
  <si>
    <t>Piemaksa par nakts darbu</t>
  </si>
  <si>
    <t>Samaksa par virsstundu darbu un darbu svētku dienās</t>
  </si>
  <si>
    <t>Piemaksa par izdienu</t>
  </si>
  <si>
    <t>Piemaksa par darbu īpašos apstākļos, speciālās piemaksas</t>
  </si>
  <si>
    <t>Piemaksa par personisko darba ieguldījumu un darba kvalitāti</t>
  </si>
  <si>
    <t>Piemaksa par papildu darbu</t>
  </si>
  <si>
    <t>Prēmijas un naudas balvas</t>
  </si>
  <si>
    <t>Citas normatīvajos aktos noteiktās piemaksas, kas nav iepriekš klasificētas</t>
  </si>
  <si>
    <t>Atalgojums fiziskajām personām uz tiesiskās attiecības regulējošu dokumentu pamata</t>
  </si>
  <si>
    <t>EKK 1150 izdevumu palielinājums sākotnēji paredzēts EKK 1113.Medodiskās vadības institūcijas  darbinieku atalgojumam. Darbinieki pieņemti uz uzņēmumu līguma pamata, tāpēc tiek grāmatoti EKK 1150.</t>
  </si>
  <si>
    <t>2025. gadā noslēgti seši uzņēmuma līgumi ar projektu koordinātoriem MVI  darbības nodrošināšanai.</t>
  </si>
  <si>
    <t>EKK 1150 izdevumu palielinājums sākotnēji paredzēts EKK 1113.Medodiskās vadības institūcijas  darbinieku atalgojumam. Darbinieki pieņemti uz uzņēmumu līguma pamata, tāpēc tiek grāmatoti EKK 1150.2025. gadā noslēgti seši uzņēmuma līgumi ar projektu koordinātoriem MVI  darbības nodrošināšanai.</t>
  </si>
  <si>
    <t>Darba devēja piešķirtie labumi un maksājumi</t>
  </si>
  <si>
    <t>Darba devēja valsts sociālās apdrošināšanas obligātās iemaksas, sociāla rakstura pabalsti un kompensācijas</t>
  </si>
  <si>
    <t>Darba devēja valsts sociālās apdrošināšanas obligātās iemaksas</t>
  </si>
  <si>
    <t>Darba devēja pabalsti, kompensācijas un citi maksājumi</t>
  </si>
  <si>
    <t>EKK 1228 tiek uzskaitīti Slimnīcas izdevumi darbiniekiem par optisko līdzekļu iegādi (saskaņā ar Koplīgumu).Salīdzinot 2024. gada 1.cet. un 2025. gada 1. cet.  darbinieku nepieciešamība mazinājusies.Šī gada 1.cet. šo pakalpojumu izmantoši 4 darbinieki.</t>
  </si>
  <si>
    <t>EKK 1221 - tiek uzskaitītas darba nespējas lapas A. 2025. gada I pusgadā darbiniekiem aprēķināto A lapu skaits samazinājies.                                                                                                              EKK 1228 -2025. gada I pusgadā 5 darbinieki saņēmuši kompensāciju par optisko līdzekļu iegādi.</t>
  </si>
  <si>
    <t xml:space="preserve"> Nekorekti veikts EKK sadalījums starp EKK 1210 un EKK 1221.                                                                                                              EKK 1228 -2025. gada 9. mēnešos 6 darbinieki saņēmuši kompensāciju par optisko līdzekļu iegādi.</t>
  </si>
  <si>
    <t>EKK 1221 tiek grāmatotas Darba nespējas lapas A,                                              EKK 1228 kompensācija par optisko līdzekļu iegādi. 2025. gadā darbiniekiem plānotās izmaksas ir mazākas nekā sākotnēji plānots.</t>
  </si>
  <si>
    <t>Darba devēja sociāla rakstura pabalsti un kompensācijas, no kuriem aprēķina ienākuma nodokli un valsts sociālās apdrošināšanas obligātās iemaksas</t>
  </si>
  <si>
    <t>Studējošo kredītu dzēšana no piešķirtajiem budžeta līdzekļiem</t>
  </si>
  <si>
    <t>Mācību maksas kompensācija</t>
  </si>
  <si>
    <t>Darba devēja izdevumi veselības, dzīvības un nelaimes gadījumu apdrošināšanai</t>
  </si>
  <si>
    <t>Darba devēja pabalsti un kompensācijas, no kā neaprēķina iedzīvotāju ienākuma nodokli un valsts sociālās apdrošināšanas obligātās iemaksas</t>
  </si>
  <si>
    <t>PRECES UN PAKALPOJUMI</t>
  </si>
  <si>
    <t>Mācību, darba un dienesta komandējumi, darba braucieni</t>
  </si>
  <si>
    <t>Iekšzemes mācību, darba un dienesta komandējumi, dienesta, darba braucieni</t>
  </si>
  <si>
    <t>Dienas nauda</t>
  </si>
  <si>
    <t>Pārējie komandējumu un darba braucienu izdevumi</t>
  </si>
  <si>
    <t>2025. gada II ceturksnī netika veikti iekšzemes mācību, darba un dienesta komandējumi</t>
  </si>
  <si>
    <t>2025. gada III ceturksnī trīs darbinieki apmeklēja apmācības minimālās higiēnas prasības pārtikas uzņēmumā.</t>
  </si>
  <si>
    <t>2025. gadā darbinieki komandējumiem un darba braucieniem paredzētos izdevumus izmantojuši mazāk nekā sākotnēji plānots.</t>
  </si>
  <si>
    <t>Ārvalstu mācību, darba un dienesta komandējumi, dienesta, darba braucieni</t>
  </si>
  <si>
    <t>2025. gada III ceturksnī netika aprēķināta dienas nauda ārvalstu mācību, darba un dienesta komandējumiem.</t>
  </si>
  <si>
    <t>Veselības Ministrijas rīkojums par M.Ciema dalību konferencē Francijā.</t>
  </si>
  <si>
    <t>2025. gada III ceturksnī  plānotie ārvalstu komandējumu un darba braucienu izdevumi ir mazāki nekā sākotnēji plānots.</t>
  </si>
  <si>
    <t>Pakalpojumi</t>
  </si>
  <si>
    <t>Izdevumi par sakaru pakalpojumiem</t>
  </si>
  <si>
    <t>Izdevumi par komunālajiem pakalpojumiem</t>
  </si>
  <si>
    <t>Izdevumi par siltumenerģiju</t>
  </si>
  <si>
    <t>Izdevumi par ūdeni un kanalizāciju</t>
  </si>
  <si>
    <t>Izdevumi par elektroenerģiju</t>
  </si>
  <si>
    <t>Izdevumi par atkritumu savākšanu, izvešanu no apdzīvotām vietām un teritorijām ārpus apdzīvotām vietām un atkritumu utilizāciju</t>
  </si>
  <si>
    <t>Izdevumi par pārējiem komunālajiem pakalpojumiem</t>
  </si>
  <si>
    <t>Iestādes administratīvie izdevumi un ar iestādes darbības nodrošināšanu
 saistītie izdevumi</t>
  </si>
  <si>
    <t xml:space="preserve">EKK 2233 izdevumi samazinājušies, jo netiek veikti pacientu pārvadājumi projekta c/o PAREXEL International ietvaros.                                                                                                                                EKK 2236  Paredzētie izdevumi EKK 2236 palielinājušies, pieprasītas audita izziņas no bankām gada pārskata salīdzināšanai un apstiprināšanai.( Citadele banka AS 70.00 EUR, Swedbank AS 40.00 EUR, SEB banka AS 35.00 eur). Palielinājusies maksa e-komercijas pakalpojumiem.                                                                             </t>
  </si>
  <si>
    <t xml:space="preserve">EKK2235-dalības maksas kursos 2025. gada II ceturksnī tika izlietota mazāk kā plānots. Dalības maksa izlietota koučinga sesijām vadītājiem un darbiniekiem, RSU realizētajiem studiju kursiem-Profesionālās plānveides programma (2 darbinieki), Veselības aprūpes plānošana un vadīšana perioperatīvā aprūpē pacientiem ar cukura diabētu (50 darbinieki),Datu aizsardzība ārstniecības atbalsta personu darbā ( 16 darbinieki).                                                                                                        EKK 2239-pārējie nekvalificētie pakalpojumi  2025. gada II ceturkšņa izpilde pārsniedz plānoto par 16.9%.  Salīdzinot plānoto ar 2025. gada II ceturkšņa izpildi kodā papildus tiek uzskaitīta rezidentu apmācība Orto klīnikā, Nacionālajā rehabilitācijas centrā Vaivari, Paula Stradiņa klīniskajā universitātes slimnīcā, Rīgas austrumu klīniskajā universitātes slimnīcā (9771 eur).  Valdes locekļu amata atlases process (13200 eur), Rentgena iekārtas atbalsta būvkonstrukciju risinājuma izstrāde-specifikācija (2500 eur), Datortomogrāfijas telpu būvkonstrukciju tehniskie risinājumi (2900 eur), juridiskās konsultācijas un juridiskā palīdzība civillietā (3500 eur), palielinājies veikto analīžu apjoms ( 4136 eur).                                            </t>
  </si>
  <si>
    <t xml:space="preserve">EKK 2233 transporta pakalpojumi-2025. gada III ceturksnī izdevumi samazinājušies. Netiek izmantoti pakalpojumi pacientu transportēšanai pētījuma ietvaros.                                                                                                                   EKK 2235 izdevumi par saņemtajiem mācību pakalpojumiem-samazinājušies. Dalības maksa izlietota koučinga sesijām vadītājiem un darbiniekiem, RSU realizētajiem studiju kursiem-Profesionālās plānveides programma (2 darbinieki), Veselības aprūpes plānošana un vadīšana perioperatīvā aprūpē pacientiem ar cukura diabētu (50 darbinieki),Datu aizsardzība ārstniecības atbalsta personu darbā ( 16 darbinieki).  </t>
  </si>
  <si>
    <t>EKK 2235 izdevumi par saņemtajiem mācību pakalpojumiem-samazinājušies. Dalības maksa izlietota koučinga sesijām vadītājiem un darbiniekiem, RSU realizētajiem studiju kursiem-Profesionālās plānveides programma (2 darbinieki), Veselības aprūpes plānošana un vadīšana perioperatīvā aprūpē pacientiem ar cukura diabētu (50 darbinieki),Datu aizsardzība ārstniecības atbalsta personu darbā ( 16 darbinieki), Pacientu datu aizsardzība ārstniecības atbalsta personālam RAN, dalība un reklāmas izvietošana pasākumā “Radiācijas drošība medicīnā” (82 darbinieki).</t>
  </si>
  <si>
    <t>Izdevumi iestādes sabiedrisko aktivitāšu īstenošanai</t>
  </si>
  <si>
    <t>Izdevumi par profesionālās darbības pakalpojumiem</t>
  </si>
  <si>
    <t>Izdevumi par transporta pakalpojumiem</t>
  </si>
  <si>
    <t>Normatīvajos aktos noteiktie veselības un fiziskās sagatavotības pārbaudes izdevumi</t>
  </si>
  <si>
    <t>Izdevumi par saņemtajiem mācību pakalpojumiem</t>
  </si>
  <si>
    <t>Maksājumu pakalpojumi un komisijas</t>
  </si>
  <si>
    <t>Pārējie neklasificētie pakalpojumi</t>
  </si>
  <si>
    <t>Remontdarbi un iestāžu uzturēšanas pakalpojumi (izņemot kapitālo remontu)</t>
  </si>
  <si>
    <t>EKK 2243 -2025. gada 1. cet. izdevumu palielinājums ir Arbor Medical Korporācija SIA  RTG iekārtu profilaktiskā apkope 3800.00 EUR un tvaika sterilizatoru 3 gab. profilaktiskā apkope un procesu validācija 5656.85 eur                                                                             2025. gadā mainīta apdrošināšanas polišu grāmatošana. 2024. gadā polišu izdevumi tika iegrāmatoti mēnesī, kad saņemtas polises. 2025. gadā izdevumi tiek dalīti pa mēnešiem.</t>
  </si>
  <si>
    <t>Remontdarbi 2025. gada II ceturksnī Slimnīcā veikti mazāk nekā sākotnēji plānots. EKK2247 izpilde palielinājusies pret plānu, jo 2025. gada nekustamā īpašuma apdrošināšanas polišu cenas palielinājušās.</t>
  </si>
  <si>
    <t>Remontdarbi 2025. gada III ceturksnī Slimnīcā veikti mazāk nekā sākotnēji plānots. EKK2247 izpilde palielinājusies pret plānu, jo 2025. gada nekustamā īpašuma apdrošināšanas polišu cenas palielinājušās.</t>
  </si>
  <si>
    <t xml:space="preserve">Remontdarbi 2025. gadā Slimnīcā veikti mazāk nekā sākotnēji plānots. EKK2247 izpilde palielinājusies pret plānu, jo 2025. gada nekustamā īpašuma apdrošināšanas polišu cenas palielinājušās. EKK 2244 palielinājums 8 676 eur. 1 676 eur -elektro tīklu , elektro aparatūras un apgaismojuma apkalpošana, deratizācijas pakalpojumi 553 eur, grīdas aizsargkārtas atjaunošana 675 eur, logu mazgāšana 6 955 eur. </t>
  </si>
  <si>
    <t>Ēku, būvju un telpu būvdarbi</t>
  </si>
  <si>
    <t>Transportlīdzekļu uzturēšana un remonts</t>
  </si>
  <si>
    <t>Iekārtas, inventāra un aparatūras remonts, tehniskā apkalpošana</t>
  </si>
  <si>
    <t xml:space="preserve">Nekustamā īpašuma uzturēšana </t>
  </si>
  <si>
    <t>Apdrošināšanas izdevumi</t>
  </si>
  <si>
    <t>Pārējie remontdarbu un iestāžu uzturēšanas pakalpojumi</t>
  </si>
  <si>
    <t>Informācijas tehnoloģiju pakalpojumi</t>
  </si>
  <si>
    <t>Īre un noma</t>
  </si>
  <si>
    <t>2025.gada II ceturksnī netiek aprēķināta izpirkuma maksa par dīzeļģeneratora Caterpillar C18 nomu. (bija noslēgta uz 5 gadiem)</t>
  </si>
  <si>
    <t>2025.gada III ceturksnī netiek aprēķināta izpirkuma maksa par dīzeļģeneratora Caterpillar C18 nomu. (bija noslēgta uz 5 gadiem)</t>
  </si>
  <si>
    <t>2025.gadā netiek aprēķināta izpirkuma maksa par dīzeļģeneratora Caterpillar C18 nomu. (bija noslēgta uz 5 gadiem)</t>
  </si>
  <si>
    <t>Ēku, telpu īre un noma</t>
  </si>
  <si>
    <t>Transportlīdzekļu noma</t>
  </si>
  <si>
    <t>Zemes noma</t>
  </si>
  <si>
    <t>Iekārtu, aparatūras un inventāra īre un noma</t>
  </si>
  <si>
    <t>Pārējā noma</t>
  </si>
  <si>
    <t>Pārējie pakalpojumi</t>
  </si>
  <si>
    <t>Izdevumi, kas saistīti ar operatīvo darbību</t>
  </si>
  <si>
    <t>Izdevumi par tiesvedības darbiem</t>
  </si>
  <si>
    <t>Maksa par zinātniskās pētniecības darbu izpildi</t>
  </si>
  <si>
    <t>Ar brīvprātīgā darba veikšanu saistītie izdevumi</t>
  </si>
  <si>
    <t>Izdevumi juridiskās palīdzības sniedzējiem un zvērinātiem tiesu izpildītājiem</t>
  </si>
  <si>
    <t>Maksājumi par parāda apkalpošanu un komisijas maksas par izmantotajiem atvasinātajiem finanšu instrumentiem</t>
  </si>
  <si>
    <t>Parādu piedziņas kompānijas  komisijas izdevumu maksas atkarīgas no atgūto lietu apmēra.</t>
  </si>
  <si>
    <t>2025. gada II ceturksnī parādu piedziņas kompānijas SIA JULIANUS INKASSO komisijas maksas par piedzītajām lietām samazinājušās. Summa atkarīga no iesniegto lietu apjoma un piedzīto lietu % maksājumiem.</t>
  </si>
  <si>
    <t>2025. gada III ceturksnī parādu piedziņas kompānijas SIA JULIANUS INKASSO komisijas maksas par piedzītajām lietām samazinājušās. Summa atkarīga no iesniegto lietu apjoma un piedzīto lietu % maksājumiem.</t>
  </si>
  <si>
    <t>Krājumi, materiāli, energoresursi, preces, biroja preces un inventārs, kurus neuzskaita kodā 5000</t>
  </si>
  <si>
    <t>Izdevumi par dažādām precēm un inventāru</t>
  </si>
  <si>
    <t>EKK 2311-2025. gada 1.cet. samazinājies pasūtīto veidlapu apjoms.                              EKK 2312-2025.gadā iepirktas preces Telpu uzkopšanas un veļas apgādes nodaļas noliktavas vajadzībām, kas paredzētas ilgāka laika lietošanai (mopi, mopu statīvi, teleskopiskie kāti, drānas, vileda liekšķeres, niveļi gružu savākšanai, kātu turētāji, pudeles ūdens mopu mitrināšanai utt.)</t>
  </si>
  <si>
    <t>EKK 2312 - 2025. gada II pusgadā tika iegādātas preces ilgstošam laika periodam Telpu uzkopšanas un veļas apgādes nodaļas vajadzībām-mopi, teleskopiskie kāti, mikrošķiedras drānas, viledas,grīdas ūdens savācējsliedes, klipši atkritumu maisu nostiprināšanai, pudeles ūdens mopu mitrināšanai.                                                EKK 2313 -2025. gada II pusgadā medicīnas personāls pakāpeniski tiek nodrošināts ar darba apģērbu.</t>
  </si>
  <si>
    <t>EKK 2312 - 2025. gada III ceturksnī tika iegādātas preces ilgstošam laika periodam Telpu uzkopšanas un veļas apgādes nodaļas vajadzībām-mopi, teleskopiskie kāti, mikrošķiedras drānas, viledas,grīdas ūdens savācējsliedes, klipši atkritumu maisu nostiprināšanai, pudeles ūdens mopu mitrināšanai.                                                EKK 2313 -2025. gada III ceturksnī medicīnas personāls pakāpeniski tiek nodrošināts ar darba apģērbu.</t>
  </si>
  <si>
    <t>EKK 2312 - 2025. gadā palielinājušies tualetes papīra  izdevumi par 12 099 eur.                                      EKK 2313 -2025. gadā medicīnas personāls pakāpeniski tiek nodrošināts ar  jaunu darba apģērbu.</t>
  </si>
  <si>
    <t>Biroja preces</t>
  </si>
  <si>
    <t>Inventārs</t>
  </si>
  <si>
    <t>Darba aizsardzības līdzekļi</t>
  </si>
  <si>
    <t>Izdevumi par precēm iestādes sabiedrisko aktivitāšu īstenošanai</t>
  </si>
  <si>
    <t>Kurināmais un enerģētiskie materiāli</t>
  </si>
  <si>
    <t>Kurināmais</t>
  </si>
  <si>
    <t>Degviela</t>
  </si>
  <si>
    <t>Pārējie enerģētiskie materiāli</t>
  </si>
  <si>
    <t>Materiāli un izejvielas palīgražošanai</t>
  </si>
  <si>
    <t>Zāles, ķimikālijas, laboratorijas preces, medicīniskās ierīces, medicīniskie instrumenti, laboratorijas dzīvnieki un to uzturēšana</t>
  </si>
  <si>
    <t>Zāles, ķimikālijas, laboratorijas preces</t>
  </si>
  <si>
    <t>Asins iegāde</t>
  </si>
  <si>
    <t>Medicīnas preces un instrumenti, laboratorijas dzīvnieki un to uzturēšana</t>
  </si>
  <si>
    <t>Iestāžu uzturēšanas materiāli un preces</t>
  </si>
  <si>
    <t>2025. gada II pusgadā materiāli, kas tiek izmantoti remontdarbu veikšanai ir izlietoti mazāk.</t>
  </si>
  <si>
    <t xml:space="preserve">EKK 2350 tiek grāmatoti materiāli, ko Slimnīca izmanto veicot remontdarbus pašu spēkiem . No 29.09.2025. Slimnīcā pieņemts apdares darbu strādnieks. </t>
  </si>
  <si>
    <t>Valsts un pašvaldību aprūpē, apgādē un dienestā (amatā) esošo personu uzturēšana</t>
  </si>
  <si>
    <t>EKK 2361 -2025. gada 1. cet. Slimnīcā tika izveidota Telpu uzkopšanas un veļas apgādes nodaļa. Netīrās veļas savākšanai un ikdienas darba nodrošināšanai tika iegādāti 8 atkritumu maisu turētāji 840.00 EUR vērtībā.                                      EKK 2362-Trauki pacientu ēdināšanas nodrošināšanai Slimnīcā tiek pasūtīti pēc nepieciešamības.</t>
  </si>
  <si>
    <t>EKK2361-mazvērtīgais inventārs un EKK 2362-trauki tiek iegādāti pēc nepieciešamības.  2025. gada II ceturksnī izdevumi ir bijuši mazāki, nekā sākotnēji plānots.</t>
  </si>
  <si>
    <t>EKK 2361 mīkstais inventārs un EKK 2362 virtuves inventārs, trauki un galda piederumi -preces tiek iegādātas pēc nepieciešamības. 2025. gada III ceturksnī izdevumi bijuši mazāki, nekā sākotnēji plānots.</t>
  </si>
  <si>
    <t>EKK 2361 mīkstais inventārs un EKK 2362 virtuves inventārs, trauki un galda piederumi -preces tiek iegādātas pēc nepieciešamības. 2025. gadā izdevumi bijuši mazāki, nekā sākotnēji plānots.</t>
  </si>
  <si>
    <t>Mīkstais inventārs</t>
  </si>
  <si>
    <t>Virtuves inventārs, trauki un galda piederumi</t>
  </si>
  <si>
    <t>Ēdināšanas izdevumi</t>
  </si>
  <si>
    <t>Formas tērpi un speciālais apģērbs</t>
  </si>
  <si>
    <t>Apdrošināšanas izdevumi veselības, dzīvības un nelaimes gadījumu apdrošināšanai</t>
  </si>
  <si>
    <t>Pārējie valsts un pašvaldību aprūpē un apgādē esošo personu uzturēšanas izdevumi, kuri nav minēti citos koda 2360 apakškodos</t>
  </si>
  <si>
    <t>Mācību līdzekļi un materiāli</t>
  </si>
  <si>
    <t>Specifiskie materiāli un inventārs</t>
  </si>
  <si>
    <t>Pārējās preces</t>
  </si>
  <si>
    <t>Nodokļu, nodevu un sankciju maksājumi</t>
  </si>
  <si>
    <t>Nodokļu un nodevu maksājumi</t>
  </si>
  <si>
    <t>Pievienotās vērtības nodokļa maksājumi</t>
  </si>
  <si>
    <t>Nekustamā īpašuma nodokļa maksājumi</t>
  </si>
  <si>
    <t>Iedzīvotāju ienākuma nodoklis (no maksātnespējīgā darba devēja darbinieku prasījumu summām)</t>
  </si>
  <si>
    <t>Dabas resursu nodokļa maksājumi</t>
  </si>
  <si>
    <t>Valsts sociālās apdrošināšanas  obligātās iemaksas (no maksātnespējīga darba devēja darbinieku prasījumu summām)</t>
  </si>
  <si>
    <t>Uzņēmējdarbības riska valsts nodeva</t>
  </si>
  <si>
    <t>Pārējie pārskaitītie nodokļi un nodevas</t>
  </si>
  <si>
    <t>Maksājumi par budžeta iestādēm piemērotajām sankcijām</t>
  </si>
  <si>
    <t>Pakalpojumi, kurus budžeta iestādes apmaksā noteikto funkciju ietvaros, kas nav iestādes administratīvie izdevumi</t>
  </si>
  <si>
    <t>PROCENTU IZDEVUMI</t>
  </si>
  <si>
    <t>Procentu maksājumi ārvalstu un starptautiskajām finanšu institūcijām</t>
  </si>
  <si>
    <t>Procentu maksājumi iekšzemes kredītiestādēm</t>
  </si>
  <si>
    <t>Pārējie procentu maksājumi</t>
  </si>
  <si>
    <t>C</t>
  </si>
  <si>
    <t>KOPĀ IZDEVUMI</t>
  </si>
  <si>
    <t>D</t>
  </si>
  <si>
    <t>PEĻŅA PIRMS AMORTIZĀCIJAS UN PĀRĒJIEM IEŅĒMUMIEM</t>
  </si>
  <si>
    <t>Nolietojums</t>
  </si>
  <si>
    <t>Nemateriālo ieguldījumu nolietojums</t>
  </si>
  <si>
    <t>2024. gada decembrī iegādātas licences mugurkaula skrūvju navigācijas programmatūras modulim 106 480 eur, fluoraskopijas programmatūras modulis 95 590 eur, starpskriemeļu disku navigācijas programmatūras modolis 112 530 eur.</t>
  </si>
  <si>
    <t>2025. gada II ceturksnī nemateriālo ieguldījumu nolietojums palielinājies. Iegādātas 3 licences -starpskriemeļu disku navigācijas programmatūras modelis , fluoraskopijas programmatūras modelis, mugurkaula skrūvju navigācijas programmatūras modelis.</t>
  </si>
  <si>
    <t>2025. gada III ceturksnī nemateriālo ieguldījumu nolietojums palielinājies. Iegādātas 3 licences -starpskriemeļu disku navigācijas programmatūras modelis , fluoraskopijas programmatūras modelis, mugurkaula skrūvju navigācijas programmatūras modelis.</t>
  </si>
  <si>
    <t>2025. gadā 2025. gadā nemateriālo ieguldījumu nolietojums palielinājies. Iegādātas 3 licences -starpskriemeļu disku navigācijas programmatūras modelis , fluoraskopijas programmatūras modelis, mugurkaula skrūvju navigācijas programmatūras modelis.</t>
  </si>
  <si>
    <t>Pamatlīdzekļu nolietojums</t>
  </si>
  <si>
    <r>
      <t>2025. gadā Slimnīca tika realizēti divi CFLA projekti. Līgums 4.1.1.1/1/23/I/002 no 19.08.2024</t>
    </r>
    <r>
      <rPr>
        <sz val="12"/>
        <rFont val="Times New Roman"/>
        <family val="1"/>
        <charset val="186"/>
      </rPr>
      <t xml:space="preserve"> f</t>
    </r>
    <r>
      <rPr>
        <b/>
        <i/>
        <sz val="12"/>
        <rFont val="Times New Roman"/>
        <family val="1"/>
        <charset val="186"/>
      </rPr>
      <t>inansējums EUR 3 152 533.00 un</t>
    </r>
    <r>
      <rPr>
        <sz val="12"/>
        <rFont val="Times New Roman"/>
        <family val="1"/>
        <charset val="186"/>
      </rPr>
      <t xml:space="preserve"> l</t>
    </r>
    <r>
      <rPr>
        <b/>
        <i/>
        <sz val="12"/>
        <rFont val="Times New Roman"/>
        <family val="1"/>
        <charset val="186"/>
      </rPr>
      <t xml:space="preserve">īgums Nr. 4.1.1.2.i.0/2/25/I/CFLA/001 no 14.04.2025. </t>
    </r>
    <r>
      <rPr>
        <sz val="12"/>
        <rFont val="Times New Roman"/>
        <family val="1"/>
        <charset val="186"/>
      </rPr>
      <t>finansējums</t>
    </r>
    <r>
      <rPr>
        <b/>
        <i/>
        <sz val="12"/>
        <rFont val="Times New Roman"/>
        <family val="1"/>
        <charset val="186"/>
      </rPr>
      <t xml:space="preserve"> EUR 3 281 235.00 . 2025. gadā iegādātie pamatlīdzekļi-anestēzijas darba stacijas un iekārtas, ķirurģiskā C loka nentgena iekārta, rentgena iekārtas, ultrosonogrāfijas iekārta, veikta  4 siltummezglu izbūve.</t>
    </r>
  </si>
  <si>
    <t>Pamatlīdzekļu nolietojums (bez administrācijas un ēdināšanas izmaksām)</t>
  </si>
  <si>
    <t>Administratīvās daļas pamatlīdzekļu nolietojums</t>
  </si>
  <si>
    <t>Pamatlīdzekļu nolietojums, kas saistīts ar ēdināšanas nodrošināšanu</t>
  </si>
  <si>
    <t>Ieņēmumos ieskaitītās dotācijas, dāvinājumi atbilstoši dāvināto pamatlīdzekļu nolietojumam par pārskata periodu</t>
  </si>
  <si>
    <t>E</t>
  </si>
  <si>
    <t>PEĻŅA PIRMS PĀRĒJIEM IEŅĒMUMIEM, IZDEVUMIEM UN ĀRKĀRTAS IEŅĒMUMIEM</t>
  </si>
  <si>
    <t>0100</t>
  </si>
  <si>
    <t>III  PĀRĒJIE IEŅĒMUMI</t>
  </si>
  <si>
    <t>EKK 0120-Slimnīca neaprēķina kavētās soda naudas, lietas tiek nodotas parādu piedziņas kompānijai. Novirze 7.00 EUR no plāna nav būtiska.</t>
  </si>
  <si>
    <t xml:space="preserve">EKK 0110 depozītnoguldījumi - saņemtie %  atkarīgi no noguldījuma summas kontā.                                                                                                                      EKK 0120 saņemtās soda naudas-plāns sastādīts ņemot vērā 2024. gada II ceturksni, 2025. gada II ceturksnī saņemto soda naudu apmērs samazinājies. </t>
  </si>
  <si>
    <r>
      <t>EKK 0110 depozītnoguldījumi - saņemtie %  atkarīgi no noguldījuma summas kontā.                                                                                                                      EKK 0120 saņemtās soda naudas-plāns sastādīts ņemot vērā 2024. gada II</t>
    </r>
    <r>
      <rPr>
        <sz val="12"/>
        <rFont val="Times New Roman"/>
        <family val="1"/>
        <charset val="186"/>
      </rPr>
      <t xml:space="preserve">I </t>
    </r>
    <r>
      <rPr>
        <i/>
        <sz val="12"/>
        <rFont val="Times New Roman"/>
        <family val="1"/>
        <charset val="186"/>
      </rPr>
      <t xml:space="preserve">ceturksni, 2025. gada III ceturksnī saņemto soda naudu apmērs samazinājies. </t>
    </r>
  </si>
  <si>
    <t xml:space="preserve">EKK 0110 Depozītnoguldījumi un EKK 0120 Saņemtās soda naudas-saņemti mazāk nekā sākotnēji plānots.  </t>
  </si>
  <si>
    <t>0110</t>
  </si>
  <si>
    <t>Depozītnoguldījumi</t>
  </si>
  <si>
    <t>0120</t>
  </si>
  <si>
    <t>Saņemtās soda naudas</t>
  </si>
  <si>
    <t>0130</t>
  </si>
  <si>
    <t>Ieņēmumi no pārdotiem materiāliem un pamatlīdzekļiem</t>
  </si>
  <si>
    <t>0140</t>
  </si>
  <si>
    <t>Atmaksātās mācību maksas</t>
  </si>
  <si>
    <t>0150</t>
  </si>
  <si>
    <t xml:space="preserve">Ieņēmumi no pamatlīdzekļu izslēgšanas </t>
  </si>
  <si>
    <t>0170</t>
  </si>
  <si>
    <t>Ieņēmumuos ieskaitītās pārvērtēšanas rezerves samazinājums</t>
  </si>
  <si>
    <t>0180</t>
  </si>
  <si>
    <t>Finansējums valsts galvotā aizdevuma saistību atmaksas nodrošināšanai</t>
  </si>
  <si>
    <t>0190</t>
  </si>
  <si>
    <t>Iesniedzot nelaimes gadījumu apdrošināšanas pieteikumus (bojāts angāra jumts un bojāta elektroenerģijas padeva) Slimnīca saņēma no ADB Gjensidige Latvijas filiāle atlīdzību  4527 EUR. Kodā vēl tiek grāmatotas iepriekšēji pieteiktās un apmaksātās vizītes pie ārsta ( gadījumā ja pacients neierodas -nauda netiek atgriezta 2490 EUR).</t>
  </si>
  <si>
    <t>EKK0190 citi ieņēmumi- izpilde pāsniedz plānoto.  2025. gada II ceturksnī Slimnīca saņēmusi atlīdzības par diviem iesniegtajiem apdrošināšanas gadījumiem (vētras laikā bojāti angāra un tuneļa jumti) 4527 eur. EKK0190 palielinājums par 2440 eur-nenotikušās ambulatorās pacientu vizītes..</t>
  </si>
  <si>
    <t>EKK0190 citi ieņēmumi- izpilde pāsniedz plānoto.  2025. gada III ceturksnī Slimnīca saņēmusi atlīdzības par diviem iesniegtajiem apdrošināšanas gadījumiem (vētras laikā bojāti angāra un tuneļa jumti) 4527 eur.</t>
  </si>
  <si>
    <t>EKK0190 citi ieņēmumi- izpilde pāsniedz plānoto.  2025. gadā Slimnīca saņēmusi atlīdzības par diviem iesniegtajiem apdrošināšanas gadījumiem (vētras laikā bojāti angāra un tuneļa jumti) 4527 eur. Saņemti 9 606 eur maksājumi  par atceltajajām ārstu konsultācijām.</t>
  </si>
  <si>
    <t>F</t>
  </si>
  <si>
    <t>III IEŅĒMUMI PAVISAM (I+III)</t>
  </si>
  <si>
    <t>EKK 00111 2025. gada 1.cet. paredzēti gada ieņēmumi Metodiskās vadības institūcijas izveidei. Ieņēmumi 2025. gada laikā izlīdzināsies.</t>
  </si>
  <si>
    <t>IV  PĀRĒJIE IZDEVUMI</t>
  </si>
  <si>
    <t xml:space="preserve">EKK 8300 norakstīto pamatlīdzekļu atlikusī vērtība-budžets plānots uz 2024. gada III ceturkšņa izpildi. Norakstīto pamatlīdzekļu summa palielinājusies, ņemot vērā atlikušo vērtību par kādu tiek norakstīti pamatlīdzekļi.2025. gada III ceturksnī norakstītie pamatlīdzekļi ar atlikušo vērtību ir: artroskops 228 eur, 4-vietīgs krēsls 58 eur, nocicepcijas modulis 1739 eur, vadītāja krēsli 184 eur, CSAN instrumenti 2072 eur.  </t>
  </si>
  <si>
    <t>EKK 8300 Norakstīto pamatlīdzekļu atlikusī vērtība- Norakstīto pamatlīdzekļu summa palielinājusies, ņemot vērā atlikušo vērtību par kādu tiek norakstīti pamatlīdzekļi.2025. gadā norakstītie pamatlīdzekļi ar atlikušo vērtību ir: artroskops 228 eur, 4-vietīgs krēsls 58 eur, nocicepcijas modulis 1739 eur, vadītāja krēsli 184 eur, CSAN instrumenti 2072 eur.  Pēc gada inventarizācijas norakstīti 3 mobilie telefoni 901 eur,  dators 87 eur, RTG aizsargbrilles 42 eur, gultas 928 eur, perfusors 236 eur, skapji 287 eur, krēsls 40 eur. EKK 8700 Uzkrājums atvaļinājumu rezervēm,piem., uzņēmuma vadītājiem par pārskata gadu-uzkrājums atkarīgs no darbinieku izmantotajām atvaļinājuma dienām gadā.</t>
  </si>
  <si>
    <t>Zaudējumi no valūtas kursa svārstībām</t>
  </si>
  <si>
    <t>Izdevumi no valūtas konvertācijas</t>
  </si>
  <si>
    <t>Norakstīto pamatlīdzekļu atlikusī vērtība</t>
  </si>
  <si>
    <t>Izdevumi debitoru parādu norakstīšanai un uzkrājumu veidošanai</t>
  </si>
  <si>
    <t>Uzkrājums atvaļinājumu rezervēm,piem., uzņēmuma vadītājiem par pārskata gadu</t>
  </si>
  <si>
    <t>Citi izdevumi</t>
  </si>
  <si>
    <t>Pārējie iepriekš neuzskaitītie budžeta izdevumi, kas veidojas pēc uzkrāšanas principa un nav uzskaitīti citos koda 8000 apakškodos</t>
  </si>
  <si>
    <t>G</t>
  </si>
  <si>
    <t>IV IZDEVUMI   PAVISAM (II + IV)</t>
  </si>
  <si>
    <t>H</t>
  </si>
  <si>
    <t xml:space="preserve"> V PEĻŅA  VAI  ZAUDĒJUMI</t>
  </si>
  <si>
    <t>Norādījumi veidlapas aizpildīšanai:</t>
  </si>
  <si>
    <r>
      <rPr>
        <vertAlign val="superscript"/>
        <sz val="12"/>
        <rFont val="Times New Roman"/>
        <family val="1"/>
      </rPr>
      <t>1</t>
    </r>
    <r>
      <rPr>
        <sz val="12"/>
        <rFont val="Times New Roman"/>
        <family val="1"/>
      </rPr>
      <t xml:space="preserve"> budžeta kodu klasifikācija sadaļā II " IZDEVUMI SAIMNIECISKĀS DARBĪBAS NODROŠINĀŠANAI KOPĀ" atbilst Ministru Kabineta noteikumiem Nr. 1031 "Noteikumi par budžetu izdevumu klasifikāciju atbilstoši ekonomiskajām kategorijām" un jāpiemēro šo MK noteikumu skaidrojumi atbilstošiem EKK</t>
    </r>
  </si>
  <si>
    <r>
      <rPr>
        <vertAlign val="superscript"/>
        <sz val="12"/>
        <rFont val="Times New Roman"/>
        <family val="1"/>
      </rPr>
      <t xml:space="preserve">2 </t>
    </r>
    <r>
      <rPr>
        <sz val="12"/>
        <rFont val="Times New Roman"/>
        <family val="1"/>
      </rPr>
      <t xml:space="preserve">detalizēti skaidrojumi par faktisko budžeta  ieņēmumu un izdevumu noviržu iemesliem periodā no </t>
    </r>
    <r>
      <rPr>
        <i/>
        <sz val="12"/>
        <rFont val="Times New Roman"/>
        <family val="1"/>
      </rPr>
      <t>n</t>
    </r>
    <r>
      <rPr>
        <sz val="12"/>
        <rFont val="Times New Roman"/>
        <family val="1"/>
      </rPr>
      <t xml:space="preserve"> gada sākuma līdz pārskata ceturkšņa beigām  gadījumos, ja novirze faktisko budžeta ieņēmumu un izdevumu pozīcijās ir virs 15%.</t>
    </r>
  </si>
  <si>
    <t xml:space="preserve">  skaidrojumi par novirzēm ir jāsniedz  sekojošiem budžeta ieņēmumu un izdevumu kodiem: 00110, 00120, 00130, 00140, 00150, 0020, 0030, 0040, 0050, 0060, 0070, 0080, 1110, 1140, 1150, 1170, 1210, 1220, 2110, 2120, 2210, 2220, 2230, 2240, 2250, 2260, 2270, 2280, 2310, 2320, 2330, 2341, 2343, 2344, 2350, 2360, 2370, 2380, 2390, 2510, 2520,2800, 4100, 4200, 4300, 5100, 5200, 0100, 8000.</t>
  </si>
  <si>
    <r>
      <rPr>
        <vertAlign val="superscript"/>
        <sz val="12"/>
        <rFont val="Times New Roman"/>
        <family val="1"/>
      </rPr>
      <t>3</t>
    </r>
    <r>
      <rPr>
        <sz val="12"/>
        <rFont val="Times New Roman"/>
        <family val="1"/>
      </rPr>
      <t xml:space="preserve"> t.sk.asins sagatavošanas nodaļas pakalpojumiem, pakalpojumi maznodrošinātajiem utt.</t>
    </r>
  </si>
  <si>
    <r>
      <rPr>
        <vertAlign val="superscript"/>
        <sz val="12"/>
        <rFont val="Times New Roman"/>
        <family val="1"/>
      </rPr>
      <t>4</t>
    </r>
    <r>
      <rPr>
        <sz val="12"/>
        <rFont val="Times New Roman"/>
        <family val="1"/>
      </rPr>
      <t xml:space="preserve"> piem., Černobiļas apliecības izsniegšana, tehnisko palīglīdzekļu centra funkciju nodrošināšana</t>
    </r>
  </si>
  <si>
    <t>Nr.p.k.</t>
  </si>
  <si>
    <t>Nosaukums</t>
  </si>
  <si>
    <r>
      <t>Skaidrojumi</t>
    </r>
    <r>
      <rPr>
        <vertAlign val="superscript"/>
        <sz val="12"/>
        <rFont val="Times New Roman"/>
        <family val="1"/>
      </rPr>
      <t>1</t>
    </r>
  </si>
  <si>
    <t>Neto apgrozījums</t>
  </si>
  <si>
    <t>2025. gada janvārī - martā, salīdzinoši ar plānu par periodu ir samazinājums valsts apmaksātiem veselības aprūpes  stacionāriem pakalpojumime par 5.7 % ; pieaugums maksas veselības  aprūpes pakalpojumiem par  15.2%</t>
  </si>
  <si>
    <t>Pārdotās produkcijas ražošanas pašizmaksa, pārdoto preču vai sniegto pakalpojumu iegādes izmaksas</t>
  </si>
  <si>
    <t>Bruto peļņa vai zaudējumi (no apgrozījuma)</t>
  </si>
  <si>
    <t>Pārdošanas izmaksas</t>
  </si>
  <si>
    <t>Administrācijas izmaksas</t>
  </si>
  <si>
    <t xml:space="preserve">Pārējie saimnieciskās darbības ieņēmumi </t>
  </si>
  <si>
    <t>2025.gada janvārī - martā salīdzinoši plānu ir samazinājums   investīciju ieņēmumiem. Periodā investīciju ieņēmumi sastāda 125888 eur</t>
  </si>
  <si>
    <t>2025.gada janvārī - septembrī salīdzinoši ar plānu ir samazinājums   investīciju ieņēmumiem.</t>
  </si>
  <si>
    <t>Pārējie saimnieciskās darbības izmaksas</t>
  </si>
  <si>
    <t>2025. gada janvārī - martā plāna izpildes palielinājums par 38661 eur - palielinājums  saimniecisko iekārtu remontiem un tehniskai apkopei, nomas pakalpojumiem, nemateriālo ieguldījumu un pamatlīdzekļu izslēgšanas un vērtības samazinājuma izdevumiem, medicīnas personāla apmācības izdevumiem,programmatūru uzturēšanas pakalpojumiem.</t>
  </si>
  <si>
    <t>2025. gada janvārī - jūnijā plāna izpildes palielinājums par 99 379 eur - palielinājums  saimniecisko iekārtu remontiem un tehniskai apkopei, nomas pakalpojumiem, nemateriālo ieguldījumu un pamatlīdzekļu izslēgšanas un vērtības samazinājuma izdevumiem, medicīnas personāla apmācības izdevumiem,programmatūru uzturēšanas pakalpojumiem.</t>
  </si>
  <si>
    <t>2025. gada janvārī - septembrī plāna izpildes palielinājums par 131 814 eur - palielinājums  saimniecisko iekārtu remontiem un tehniskai apkopei, nomas pakalpojumiem, nemateriālo ieguldījumu un pamatlīdzekļu izslēgšanas un vērtības samazinājuma izdevumiem,programmatūru uzturēšanas pakalpojumiem,stipendijām medicīnas programmas studentiem,apdrošināšanas maksājumiem,atkritumu izvešanas pakalpojumiem, rezidentu apmācībai.</t>
  </si>
  <si>
    <t>2025. gada janvārī - decembrī plāna izpildes palielinājums par 1451720 eur - 2025. gadā tika realizēti divi CFLA projekti Eiropas Savienības Atveseļošanās foda projekts un Eiropas Reģionālās attīstības fonda projekts. Projekta ietvaros nolietojums sastāda 645705.52 eiro. Ir veidoti uzkrājumi kreditoru saistību izpildei 345408 eiro.</t>
  </si>
  <si>
    <t xml:space="preserve">Ieņēmumi no līdzdalības </t>
  </si>
  <si>
    <t xml:space="preserve">
i </t>
  </si>
  <si>
    <t>Ieņēmumi no vērtspapīriem un aizdevumiem, kas veidojuši ilgtermiņa aizdevumus</t>
  </si>
  <si>
    <t>Pārējie procentu ieņēmumi un tamlīdzīgi ieņēmumi</t>
  </si>
  <si>
    <t>Par noguldījumiem bankas kontā tiek aprēķināta noguldījuma procentu likme 1.5% apmērā. 2025.gada janvārī - martā saņemtie noguldījumu procenti - 118 eur.</t>
  </si>
  <si>
    <t>Par noguldījumiem bankas kontā tiek aprēķināta noguldījuma procentu likme 1.5% apmērā. 2025.gada janvārī - jūnijā saņemtie noguldījumu procenti - 131 eur.</t>
  </si>
  <si>
    <t>Par noguldījumiem bankas kontā tiek aprēķināta noguldījuma procentu likme 1.5% apmērā. 2025.gada janvārī - septembrī saņemtie noguldījumu procenti - 145 eur.</t>
  </si>
  <si>
    <t>Par noguldījumiem bankas kontā tiek aprēķināta noguldījuma procentu likme 1.5% apmērā. 2025.gada janvārī -  decembrī saņemtie noguldījumu procenti - 160 eiro.</t>
  </si>
  <si>
    <t>Ilgtermiņa un īstermiņa finanšu ieguldījumu vērtības samazinājuma korekcijas</t>
  </si>
  <si>
    <t>Procentu maksājumi un tamlīdzīgas izmaksas</t>
  </si>
  <si>
    <t>Peļņa vai zaudējumi pirms uzņēmumu ienākuma nodokļa</t>
  </si>
  <si>
    <t>2025.gada janvārī- martā salīdzinot ar plānu izdevumi saimnieciskās darbības nodrošināsanai palielinājušies par 27129 eur, savukārt plānotie ieņēmusi samazinājušies par 168004 eur.</t>
  </si>
  <si>
    <t>Uzņēmumu ienākuma nodoklis par pārskata gadu</t>
  </si>
  <si>
    <t xml:space="preserve">Peļņa vai zaudējumi pēc uzņēmumu ienākuma nodokļa aprēķināšanas </t>
  </si>
  <si>
    <t>Ieņēmumi vai izmaksas no atliktā nodokļa aktīvu vai saistību atlikumu izmaiņām</t>
  </si>
  <si>
    <t>Ārkārtas dividendes</t>
  </si>
  <si>
    <t xml:space="preserve">Pārskata perioda peļņa vai zaudējumi </t>
  </si>
  <si>
    <t>Mazākumakcionāru peļņas vai zaudējumu daļa</t>
  </si>
  <si>
    <t xml:space="preserve">Peļņas vai zaudējumu aprēķinu un Bilanci apkopo un norāda atbilstoši apstiprinātai kapitālsabiedrības grāmatvedības politikai.                      Visiem pielikumos norādītiem datiem jābūt loģiski savstarpēji saistītiem. </t>
  </si>
  <si>
    <r>
      <rPr>
        <vertAlign val="superscript"/>
        <sz val="12"/>
        <rFont val="Times New Roman"/>
        <family val="1"/>
      </rPr>
      <t xml:space="preserve">1 </t>
    </r>
    <r>
      <rPr>
        <sz val="12"/>
        <rFont val="Times New Roman"/>
        <family val="1"/>
      </rPr>
      <t>Detalizēti skaidrojumi par noviržu iemesliem periodā no n gada sākuma līdz pārskata ceturkšņa beigām gadījumos, ja novirze ir virs 15%.</t>
    </r>
  </si>
  <si>
    <t>Bilances posteņa nosaukums</t>
  </si>
  <si>
    <r>
      <t>Skaidrojumi</t>
    </r>
    <r>
      <rPr>
        <vertAlign val="superscript"/>
        <sz val="12"/>
        <color rgb="FF000000"/>
        <rFont val="Times New Roman"/>
        <family val="1"/>
      </rPr>
      <t>1</t>
    </r>
  </si>
  <si>
    <t>Ilgtermiņa ieguldījumi</t>
  </si>
  <si>
    <t>Nemateriālie ieguldījumi</t>
  </si>
  <si>
    <t>Attīstības izmaksas</t>
  </si>
  <si>
    <t>Koncesijas, patenti, licences, preču zīmes un tamlīdzīgas tiesības</t>
  </si>
  <si>
    <t>Citi nemateriālie ieguldījumi</t>
  </si>
  <si>
    <t>Nemateriālā vērtība</t>
  </si>
  <si>
    <t>Avansa maksājumi par nemateriālajiem ieguldījumiem</t>
  </si>
  <si>
    <t>Nemateriālo ieguldījumu amortizācija un vērtības samazinājums</t>
  </si>
  <si>
    <t>`</t>
  </si>
  <si>
    <t>Pamatlīdzekļi</t>
  </si>
  <si>
    <t>2025. gada janvārī projektēšanas darbu izmaksas 1876 eur, saskaņā ar paredzamajiem 5.operāciju bloka remontadrbiem, projekta ietvaros.</t>
  </si>
  <si>
    <t>2025. gada janvārī - jūnijā norit rekonstrukcija ēkai (ERAF prosjekta ietvaros), nodošana ekspluatācijā nepabeigtai būvniecībai paredzēta 2025. gada III ceturksnī.</t>
  </si>
  <si>
    <t>Tehnoloģiskās iekārtas projektu ietvaros plānotas iepirkt līdz 2025. gada oktobrim.Būvniecība pabeigta 2025. gada oktobrī.</t>
  </si>
  <si>
    <t>Zeme un būves</t>
  </si>
  <si>
    <t>Tehnoloģiskās iekārtas un mašīnas</t>
  </si>
  <si>
    <t>Pārējie pamatlīdzekļi</t>
  </si>
  <si>
    <t>2025. gada plāns neizpildīts - iegādātas datortehnikas  iekārtas - datori monitori, printeri, video novērošanas kameras, komutatori, novērošanas kameras 307263 eiro vērtībā, plānotas lielākas  iegādes  par 321964 eiro informācijas tehnoloģijām</t>
  </si>
  <si>
    <t>Pamatlīdzekļu izveidošana un nepabeigtā būvniecība</t>
  </si>
  <si>
    <t xml:space="preserve">2025. gadā plānotā nepabeigtā būvniecība, Eiropas Savienības Atveseļošanas fonda ietvaros, tiks nodota ekspluatācijā 2026. gadā. </t>
  </si>
  <si>
    <t>Turējumā nodotie valsts un pašvaldību īpašumi</t>
  </si>
  <si>
    <t>Bioloģiskie un pazemes aktīvi</t>
  </si>
  <si>
    <t>Ilgtermiņa ieguldījumi nomātajos pamatlīdzekļos</t>
  </si>
  <si>
    <t>Avansa maksājumi par pamatlīdzekļiem</t>
  </si>
  <si>
    <t xml:space="preserve">	Pamatlīdzekļu uzkrātais nolietojums un vērtības samazinājums</t>
  </si>
  <si>
    <t>Ilgtermiņa finanšu ieguldījumi</t>
  </si>
  <si>
    <t>Ilgtermiņa prasības</t>
  </si>
  <si>
    <t>Ieguldījuma īpašumi</t>
  </si>
  <si>
    <t>Bioloģiskie aktīvi lauksaimnieciskajai darbībai</t>
  </si>
  <si>
    <t>Apgrozāmie līdzekļi</t>
  </si>
  <si>
    <t>Krājumi</t>
  </si>
  <si>
    <t>2025. gada janvārī - martā krājumu piegāde  par avansa maksājumiem piegādāta ceturkšņa ietvaros.</t>
  </si>
  <si>
    <t>2025. gada janvārī - jūnijā , salīdzinoši ar plānoto,  ir mazāk veikti avansa maksājumi par krājumiem par 430 eur.</t>
  </si>
  <si>
    <t>Nekorekti sastādīts plāns kodā 2110 izejvielas, pamatmateriāli un palīgmateriāli.             2025. gada janvārī - septembrī , salīdzinoši ar plānoto,  ir vairāk veikti avansa maksājumi par krājumiem- 1259 eur.</t>
  </si>
  <si>
    <t xml:space="preserve">2025. gadā palielinājušies atlikumi krājumiem - endoprotēzēm, mugurkaula implantiem, medicīnas palīgmateriāliem, osteosintēzes implantiem (cenu pieaugums), veidoti uzkrājumi krājumiem 197507 eiro vērtībā. </t>
  </si>
  <si>
    <t>Izejvielas, pamatmateriāli un palīgmateriāl</t>
  </si>
  <si>
    <t>Nepabeigtie ražojumi un pasūtījumi</t>
  </si>
  <si>
    <t>Gatavie ražojumi, pasūtījumi un krājumi atsavināšanai</t>
  </si>
  <si>
    <t>Bioloģisko aktīvu produkti un krājumi to uzturēšanai</t>
  </si>
  <si>
    <t>Valsts materiālās rezerves</t>
  </si>
  <si>
    <t>Speciālais militārais inventārs un speciālā militārā inventāra izveidošana</t>
  </si>
  <si>
    <t xml:space="preserve">	Avansa maksājumi un vērtības samazinājums avansa maksājumiem par krājumiem</t>
  </si>
  <si>
    <t>Vērtības samazinājums krājumiem</t>
  </si>
  <si>
    <t xml:space="preserve">	Īstermiņa prasības</t>
  </si>
  <si>
    <t xml:space="preserve">
</t>
  </si>
  <si>
    <t>Prasības pret pircējiem un pasūtītājiem</t>
  </si>
  <si>
    <t>Prasības par ārvalstu finanšu palīdzības un Eiropas Savienības politiku instrumentu finansētajiem projektiem (pasākumiem)</t>
  </si>
  <si>
    <t>Prasības par nodokļiem, nodevām un citiem maksājumiem budžetos</t>
  </si>
  <si>
    <t>Uzkrātie ieņēmumi</t>
  </si>
  <si>
    <t>Pārmaksātie nodokļi, nodevas un citi maksājumi budžetos</t>
  </si>
  <si>
    <t>Prasības pret personālu</t>
  </si>
  <si>
    <t>Pārējās prasības</t>
  </si>
  <si>
    <t>Nākamo periodu izdevumi un avansa maksājumi par pakalpojumiem un projektiem</t>
  </si>
  <si>
    <t>Īstermiņa finanšu ieguldījumi</t>
  </si>
  <si>
    <t>Naudas līdzekļi</t>
  </si>
  <si>
    <t>2025. gada janvārī - jūnijā plānotie bezskaidras naudas līdzekļi ir mazāki - šajā periodā  no CFLA ir saņemti 972348 eur.</t>
  </si>
  <si>
    <t>2025. gada janvārī-septembrī plānotie naudas līdzekļi palielinājušies par 173 466 eur.(projektu ietvaros saņemtā nauda)</t>
  </si>
  <si>
    <t>AKTĪVU KOPSUMMA (1000+2000)</t>
  </si>
  <si>
    <t>Pašu kapitāls</t>
  </si>
  <si>
    <t>Pamatkapitāls</t>
  </si>
  <si>
    <t>Ilgtermiņa ieguldījumu pārvērtēšanas rezerve.</t>
  </si>
  <si>
    <t>Rezerves</t>
  </si>
  <si>
    <t xml:space="preserve">	Finanšu instrumentu patiesās vērtības rezerve</t>
  </si>
  <si>
    <t xml:space="preserve">	Pārējās rezerves</t>
  </si>
  <si>
    <t>Nesadalītā peļņa:</t>
  </si>
  <si>
    <t>2025.gada janvārī- martā salīdzinot ar plānu izdevumi saimnieciskās darbības nodrošināsanai palielinājušies par 1.2%, savukārt plānotie ieņēmusi samazinājušies par 3.3%</t>
  </si>
  <si>
    <t>2025. gada janvārī-decembrī palielinājušies valsts apmaksātie veselības aprūpes pakalpojumi  vairāk nekā sākotnēji plānots par 11.2%</t>
  </si>
  <si>
    <t>Iepriekšējo gadu nesadalītā peļņa vai nesegtie zaudējumi</t>
  </si>
  <si>
    <t>Pārskata gada peļņa vai zaudējumi</t>
  </si>
  <si>
    <t>2025. gada janvārī-septembrī palielinājušies maksas ambulatorie un stacionārie ieņēmumi par 153 104 eur vairāk nekā sākotnēji plānots.</t>
  </si>
  <si>
    <t>Uzkrājumi</t>
  </si>
  <si>
    <t>Kreditori</t>
  </si>
  <si>
    <t>Ilgtermiņa kreditori</t>
  </si>
  <si>
    <t xml:space="preserve">2025. gada janvārī - jūnijā plānotie ilgtermiņa parādi piegādātājiem lielāki - piegādātāji iemaksājuši garantijas summas - Elanus Medical Latvija SIA - 169508 eur, MedUS Medical Latvija UAB - 25568 eur. </t>
  </si>
  <si>
    <t>Aizņēmumi no kredītiestādēm</t>
  </si>
  <si>
    <t>Citi aizņēmumi</t>
  </si>
  <si>
    <t>No pircējiem saņemtie avansi</t>
  </si>
  <si>
    <t>Parādi piegādātājiem un darbuzņēmējiem</t>
  </si>
  <si>
    <t>Nodokļi un valsts sociālās apdrošināšanas obligātās iemaksas</t>
  </si>
  <si>
    <t>Pārējie kreditori</t>
  </si>
  <si>
    <t>Nākamo periodu ieņēmumi</t>
  </si>
  <si>
    <t>Uzkrātās saistības</t>
  </si>
  <si>
    <t>Neizmaksātās dividendes</t>
  </si>
  <si>
    <t>Īstermiņa kreditori</t>
  </si>
  <si>
    <t>2025. gada janvārī - martā saņemtie avansi ir lielāki kā plānots par 8348 eur - fizisku personu  ( 105 pacientu ) maksājumi par attālinātām konsultācijām un maksas operācijām.</t>
  </si>
  <si>
    <t>2025. gada janvārī - jūnijā no pricējiem saņemtie avansi par maksas operācijām, par attālinātām ambulatorām konsultācijām , salīdzinoši ar plānoto palielinājušās par 15145 eur.</t>
  </si>
  <si>
    <t>Pret 2025. gada III ceturkšņa plānu palielinājušies parādi piegādātājiem un darbuzņēmējiem.Savukārt samazinājušies nodokļi un valsts sociālās apdrošināšanas obligātās iemaksas.</t>
  </si>
  <si>
    <t>2025. gada janvārī - decembrī palielinājušies parādi piegādātājiem un darbuzņēmējiem, savukārt samazinājušies nodokļi un valsts sociālās apdrošināšanas obligātās iemaksas. Nākamo periodu ieņēmumi palielinājušies, CFLA projektu izpildes ietekmē. Veidoti uzkrājumi kreditoriem.</t>
  </si>
  <si>
    <t>PASĪVU KOPSUMMA (3000+4000+5000)</t>
  </si>
  <si>
    <t>I</t>
  </si>
  <si>
    <t>Kredītsaistības  (5100+5200)</t>
  </si>
  <si>
    <t xml:space="preserve">Ilgtermiņa kredītsaistības kopā </t>
  </si>
  <si>
    <t xml:space="preserve">Īstermiņa kredītsaistības kopā </t>
  </si>
  <si>
    <t>2024. gada izpilde</t>
  </si>
  <si>
    <t>2025. gada plāns</t>
  </si>
  <si>
    <t>Naudas līdzekļu atlikums perioda sākumā</t>
  </si>
  <si>
    <t>J</t>
  </si>
  <si>
    <t>Saimnieciskās darbības ieņēmumi</t>
  </si>
  <si>
    <t>Valsts līdzekļi pamatdarbībai kopā</t>
  </si>
  <si>
    <t>Apdrošināšanas kompāniju rēķini tiek maksāti līdz 60 dienu termiņam.Aktīvi tiek piedzītas gados vecas lietas no SIA Julianus inkasso Latvija.</t>
  </si>
  <si>
    <t>Apdrošināšanas kompānijas uz gada beigām veic savlaicīgākus maksājumus, nesagaidot līgumā noteikto termiņu.</t>
  </si>
  <si>
    <t>Saņemtās pacientu iemaksas (ambulatorai palīdzībai)</t>
  </si>
  <si>
    <t>Pacienti kavē rēķinu apmaksas termiņus.</t>
  </si>
  <si>
    <t>Saimnieciskās darbības izdevumi</t>
  </si>
  <si>
    <t>Sniegto pakalpojumu izdevumi</t>
  </si>
  <si>
    <t>2025.gada 1.cet. pamatlīdzekļu pozīcijā ietaupītie līdzekļi novirzīti piegādātāju pārādu apmaksai.</t>
  </si>
  <si>
    <t>Pārējie uzņēmuma saimnieciskās darbības izdevumi</t>
  </si>
  <si>
    <t>Pamatdarbības neto naudas plūsma (11 000-12 000)</t>
  </si>
  <si>
    <t>K</t>
  </si>
  <si>
    <t>Ieguldījumu darbības naudas plūsma</t>
  </si>
  <si>
    <t>Ieguldīšanas darbības ieņēmumi</t>
  </si>
  <si>
    <t>Ieņēmumi no radniecīgo sabiedrību, asociēto sabiedrību vai citu sabiedrību akciju vai daļu atsavināšanas</t>
  </si>
  <si>
    <t>Ieņēmumi no pamatlīdzekļu un nemateriālo ieguldījumu pārdošanas</t>
  </si>
  <si>
    <t>Ieņēmumi no aizdevumu atmaksas</t>
  </si>
  <si>
    <t>Saņemtie procenti</t>
  </si>
  <si>
    <t>Saņemtās dividendes</t>
  </si>
  <si>
    <t>Ieguldīšanas darbības izdevumi</t>
  </si>
  <si>
    <t>Radniecīgo sabiedrību, asociēto sabiedrību vai citu sabiedrību akciju vai daļu iegāde</t>
  </si>
  <si>
    <t>Pamatlīdzekļu un nemateriālo ieguldījumu iegāde kopā</t>
  </si>
  <si>
    <t>Intelektuālais īpašums</t>
  </si>
  <si>
    <t>Kustamais īpašums</t>
  </si>
  <si>
    <t>Izvērtējot nepieciešamību, pamatlīdzekļi iegādāti mazāk nekā plānots.</t>
  </si>
  <si>
    <t>2025. gada janvārī - jūnijā plānotā summa pārsniegta - intensīvi tika iegādāti pamatlīdzekļi ERAF projekta ietvaros.</t>
  </si>
  <si>
    <t xml:space="preserve">2025.gada janvārī - septembrī ERAF projekta ietvaros iegādāti vairāk pamatlīdzekļi nekā plānots. </t>
  </si>
  <si>
    <r>
      <rPr>
        <sz val="12"/>
        <color rgb="FF000000"/>
        <rFont val="Times New Roman"/>
        <family val="1"/>
        <charset val="186"/>
      </rPr>
      <t>2025. gadā Slimnīca tika realizēti divi CFLA projekti. Līgums 4.1.1.1/1/23/I/002 no 19.08.2024 finansējums EUR 3 152 533.00 un līgums Nr. 4.1.1.2.i.0/2/25/I/CFLA/001 no 14.04.2025. finansējums EUR 3 281 235.00 . 2025. gadā iegādātie pamatlīdzekļi-anestēzijas darba stacijas un iekārtas, ķirurģiskā C loka nentgena iekārta, rentgena iekārtas, ultrosonogrāfijas iekārta, veikta  4 siltummezglu izbūve.</t>
    </r>
  </si>
  <si>
    <t>Nekustamais īpašums</t>
  </si>
  <si>
    <t>2025. gada janvārī -jūnijā  plānotā ERAF  projekta ietvaros rekontsrukcija ēkai, nodošana  būs 2025. gada III ceturksnī.</t>
  </si>
  <si>
    <t>2025. gada janvārī -septembrī  plānotā ERAF  projekta ietvaros rekontsrukcija ēkai, nodošana  būs 2025. gada IV ceturksnī.</t>
  </si>
  <si>
    <t>2025. gadā tika plānota nodot ēkas rekonstrukciju (Duntes ielā 18) par 18% lielāku summu.</t>
  </si>
  <si>
    <t>Izsniegtie aizdevumi</t>
  </si>
  <si>
    <t>Ieguldīšanas darbības neto naudas plūsma  (14000-15 000)</t>
  </si>
  <si>
    <t>L</t>
  </si>
  <si>
    <t>Finansēšanas darbības naudas plūsma</t>
  </si>
  <si>
    <t>Finansēšanas darbības ieņēmumi</t>
  </si>
  <si>
    <t>Ieņēmumi no akciju un obligāciju emisijas vai kapitāla līdzdalības daļu ieguldījumiem</t>
  </si>
  <si>
    <t>Saņemtie aizņēmumi</t>
  </si>
  <si>
    <t>Saņemtās subsīdijas, dotācijas, dāvinājumi vai ziedojumi</t>
  </si>
  <si>
    <t>2025.gada CFLA plānotie maksājumi paredzēti 2025. gada IV ceturksnī.</t>
  </si>
  <si>
    <t>Sastādot 2025. gada budžeta plānu netika ņemts vērā finansējums no ESAF- Atveseļošanas un noturības mehānisma plāna stiprināšana.</t>
  </si>
  <si>
    <t>Finansēšanas darbības izdevumi</t>
  </si>
  <si>
    <t>Izdevumi aizņēmumu atmaksāšanai</t>
  </si>
  <si>
    <t>Izdevumi nomāta pamatlīdzekļa izpirkumam</t>
  </si>
  <si>
    <t>Izmaksātās dividendes</t>
  </si>
  <si>
    <t>Finansēšanas darbības naudas neto plūsma (17 000-18 000)</t>
  </si>
  <si>
    <t>Ārvalstu valūtu kursu svārstību rezultāts</t>
  </si>
  <si>
    <t>Klientu uzdevumā veiktā naudas saņemšana un izmaksāšana</t>
  </si>
  <si>
    <t>Naudas līdzekļu atlikums perioda beigās</t>
  </si>
  <si>
    <t>2025. gada janvārī tika saņemtas NVD rēķinu apmaksas par 2024. gada rēķiniem.</t>
  </si>
  <si>
    <t>Sastādot 2025. gada budžeta plānu netika ņemts vērā finansējums no ESAF- Atveseļošanas un noturības mehānisma plāna stiprināšana. Algas par 2025. gada decembri tika izmaksātas 2026. gada janvārī.</t>
  </si>
  <si>
    <t>Valsts galvotais aizdevums</t>
  </si>
  <si>
    <t>ES fondu projektu līdzfinansējums</t>
  </si>
  <si>
    <t>Citu ārvalstu projektu līdzfinansējums</t>
  </si>
  <si>
    <t>Pašu līdzekļi</t>
  </si>
  <si>
    <t>Budžeta līdzekļi</t>
  </si>
  <si>
    <t>Pacientu personīgie līdzekļi</t>
  </si>
  <si>
    <t>Citi finanšu līdzekļi</t>
  </si>
  <si>
    <r>
      <rPr>
        <vertAlign val="superscript"/>
        <sz val="12"/>
        <rFont val="Times New Roman"/>
        <family val="1"/>
      </rPr>
      <t xml:space="preserve">1 </t>
    </r>
    <r>
      <rPr>
        <sz val="12"/>
        <rFont val="Times New Roman"/>
        <family val="1"/>
      </rPr>
      <t>detalizēti skaidrojumi par noviržu iemesliem periodā no n gada sākuma līdz pārskata ceturkšņa beigām gadījumos, ja novirze ir virs 15%.</t>
    </r>
  </si>
  <si>
    <t>Rādītāja nosaukums</t>
  </si>
  <si>
    <t xml:space="preserve"> 2024. gada  izpilde</t>
  </si>
  <si>
    <r>
      <t>Skaidrojumi</t>
    </r>
    <r>
      <rPr>
        <vertAlign val="superscript"/>
        <sz val="12"/>
        <rFont val="Times New Roman"/>
        <family val="1"/>
      </rPr>
      <t>12</t>
    </r>
  </si>
  <si>
    <t>Plāns periodam no 2025 gada sākuma līdz II ceturkšņa beigām</t>
  </si>
  <si>
    <t>23000</t>
  </si>
  <si>
    <t>VESELĪBAS APRŪPE</t>
  </si>
  <si>
    <t>X</t>
  </si>
  <si>
    <t>23100</t>
  </si>
  <si>
    <t>Neatliekamās medicīniskās palīdzības sniegšana uzņemšanas nodaļā (t.sk. traumpunktā), izslēdzot dzemdības un plānveida hospitalizācijas</t>
  </si>
  <si>
    <t>23110</t>
  </si>
  <si>
    <t>Kopējais pacientu skaits periodā, kas vērsušies NMPUN, t.sk.</t>
  </si>
  <si>
    <t>27 123</t>
  </si>
  <si>
    <t>23111</t>
  </si>
  <si>
    <r>
      <t xml:space="preserve">Pacientu skaits periodā, kuriem sniegta neatliekamā medicīniskā palīdzība un </t>
    </r>
    <r>
      <rPr>
        <i/>
        <sz val="12"/>
        <rFont val="Times New Roman"/>
        <family val="1"/>
      </rPr>
      <t>tie novirzīti turpmākai ambulatorai ārstēšanai</t>
    </r>
  </si>
  <si>
    <t>23 441</t>
  </si>
  <si>
    <t>23112</t>
  </si>
  <si>
    <r>
      <t>Pacientu skaits periodā,</t>
    </r>
    <r>
      <rPr>
        <i/>
        <sz val="12"/>
        <rFont val="Times New Roman"/>
        <family val="1"/>
      </rPr>
      <t xml:space="preserve"> kuri stacionēti (bez observācijas)</t>
    </r>
  </si>
  <si>
    <t>3 682</t>
  </si>
  <si>
    <t>23113</t>
  </si>
  <si>
    <r>
      <t xml:space="preserve">Pacientu skaits periodā, </t>
    </r>
    <r>
      <rPr>
        <i/>
        <sz val="12"/>
        <rFont val="Times New Roman"/>
        <family val="1"/>
      </rPr>
      <t>kuriem nodrošināts observācijas pakalpojums, t.sk.</t>
    </r>
  </si>
  <si>
    <t>231131</t>
  </si>
  <si>
    <t>Pacientu skaits periodā, kuri pēc observācijas novirzīti turpmākai ambulatorai ārstēšanai</t>
  </si>
  <si>
    <t> </t>
  </si>
  <si>
    <t>231132</t>
  </si>
  <si>
    <t>Pacientu skaits periodā, kuri pēc observācijas stacionēti</t>
  </si>
  <si>
    <t>23212</t>
  </si>
  <si>
    <t>Kopējais stacionēto pacientu skaits no NMPUN (23112+231132)</t>
  </si>
  <si>
    <t>23213</t>
  </si>
  <si>
    <t>Kopējais stacionēto pacientu īpatsvars  no kopējā gadījumu skaita uzņemšanas nodaļā, % (23212/23110)</t>
  </si>
  <si>
    <t>23214</t>
  </si>
  <si>
    <r>
      <t>Vidējais</t>
    </r>
    <r>
      <rPr>
        <vertAlign val="superscript"/>
        <sz val="12"/>
        <rFont val="Times New Roman"/>
        <family val="1"/>
      </rPr>
      <t>1</t>
    </r>
    <r>
      <rPr>
        <sz val="12"/>
        <rFont val="Times New Roman"/>
        <family val="1"/>
      </rPr>
      <t xml:space="preserve"> observācijas gultu skaits</t>
    </r>
  </si>
  <si>
    <t>23215</t>
  </si>
  <si>
    <t>Observācijas gadījumu īpatsvars no kopējā gadījumu skaita uzņemšanas nodaļā (23113/23110), %</t>
  </si>
  <si>
    <t>23200</t>
  </si>
  <si>
    <t>STACIONĀRĀ VESELĪBAS APRŪPE</t>
  </si>
  <si>
    <t>23210</t>
  </si>
  <si>
    <t>Vidējais gultu skaits stacionārā</t>
  </si>
  <si>
    <t>23230</t>
  </si>
  <si>
    <t>Kopējais gultu dienu skaits</t>
  </si>
  <si>
    <t>44 384</t>
  </si>
  <si>
    <t>23231</t>
  </si>
  <si>
    <t>Stacionārā pacienta dienas vidējā realizācijas maksa, EUR</t>
  </si>
  <si>
    <t>23232</t>
  </si>
  <si>
    <t>Stacionārā pacienta dienas vidējā pašizmaksa, EUR</t>
  </si>
  <si>
    <t>23250</t>
  </si>
  <si>
    <r>
      <t>Kopējais hospitalizācijas</t>
    </r>
    <r>
      <rPr>
        <vertAlign val="superscript"/>
        <sz val="12"/>
        <rFont val="Times New Roman"/>
        <family val="1"/>
      </rPr>
      <t>2</t>
    </r>
    <r>
      <rPr>
        <sz val="12"/>
        <rFont val="Times New Roman"/>
        <family val="1"/>
      </rPr>
      <t xml:space="preserve"> gadījumu skaits, t.sk.</t>
    </r>
  </si>
  <si>
    <t>7 473</t>
  </si>
  <si>
    <t>232501</t>
  </si>
  <si>
    <r>
      <t>Valsts apmaksāto hospitalizācijas</t>
    </r>
    <r>
      <rPr>
        <i/>
        <vertAlign val="superscript"/>
        <sz val="12"/>
        <rFont val="Times New Roman"/>
        <family val="1"/>
      </rPr>
      <t>2</t>
    </r>
    <r>
      <rPr>
        <i/>
        <sz val="12"/>
        <rFont val="Times New Roman"/>
        <family val="1"/>
      </rPr>
      <t xml:space="preserve"> gadījumu skaits</t>
    </r>
  </si>
  <si>
    <t>7 266</t>
  </si>
  <si>
    <t>23251</t>
  </si>
  <si>
    <r>
      <t>Plānveida hospitalizācijas</t>
    </r>
    <r>
      <rPr>
        <vertAlign val="superscript"/>
        <sz val="12"/>
        <rFont val="Times New Roman"/>
        <family val="1"/>
      </rPr>
      <t>2</t>
    </r>
    <r>
      <rPr>
        <sz val="12"/>
        <rFont val="Times New Roman"/>
        <family val="1"/>
      </rPr>
      <t xml:space="preserve"> gadījumu skaits, t.sk.:</t>
    </r>
  </si>
  <si>
    <t>3 791</t>
  </si>
  <si>
    <t>232511</t>
  </si>
  <si>
    <r>
      <t>Valsts apmaksāto plānveida hospitalizācijas</t>
    </r>
    <r>
      <rPr>
        <i/>
        <vertAlign val="superscript"/>
        <sz val="12"/>
        <rFont val="Times New Roman"/>
        <family val="1"/>
      </rPr>
      <t>2</t>
    </r>
    <r>
      <rPr>
        <i/>
        <sz val="12"/>
        <rFont val="Times New Roman"/>
        <family val="1"/>
      </rPr>
      <t xml:space="preserve"> gadījumu skaits</t>
    </r>
  </si>
  <si>
    <t>3 616</t>
  </si>
  <si>
    <t>23252</t>
  </si>
  <si>
    <r>
      <t>Neatliekamo hospitalizāciju</t>
    </r>
    <r>
      <rPr>
        <vertAlign val="superscript"/>
        <sz val="12"/>
        <rFont val="Times New Roman"/>
        <family val="1"/>
      </rPr>
      <t>2</t>
    </r>
    <r>
      <rPr>
        <sz val="12"/>
        <rFont val="Times New Roman"/>
        <family val="1"/>
      </rPr>
      <t xml:space="preserve"> gadījumu skaits, t.sk.:</t>
    </r>
  </si>
  <si>
    <t>232521</t>
  </si>
  <si>
    <r>
      <t>Valsts apmaksāto neatliekamo hospitalizācijas</t>
    </r>
    <r>
      <rPr>
        <i/>
        <vertAlign val="superscript"/>
        <sz val="12"/>
        <rFont val="Times New Roman"/>
        <family val="1"/>
      </rPr>
      <t>2</t>
    </r>
    <r>
      <rPr>
        <i/>
        <sz val="12"/>
        <rFont val="Times New Roman"/>
        <family val="1"/>
      </rPr>
      <t xml:space="preserve"> gadījumu skaits</t>
    </r>
  </si>
  <si>
    <t>3 650</t>
  </si>
  <si>
    <t>23261</t>
  </si>
  <si>
    <r>
      <t>Atkārtoti hospitalizēto pacientu skaits, neieskaitot pacientus, kuriem nākamā hospitalizācija ir aprūpe vai rehabilitācija</t>
    </r>
    <r>
      <rPr>
        <vertAlign val="superscript"/>
        <sz val="12"/>
        <rFont val="Times New Roman"/>
        <family val="1"/>
      </rPr>
      <t>9</t>
    </r>
  </si>
  <si>
    <t>23262</t>
  </si>
  <si>
    <r>
      <t>Atkārtoti hospitalizēto pacientu skaits, kuriem nākamā hospitalizācija ir aprūpe,  rehabilitācija vai nākamais ārstēšanas posms</t>
    </r>
    <r>
      <rPr>
        <vertAlign val="superscript"/>
        <sz val="12"/>
        <rFont val="Times New Roman"/>
        <family val="1"/>
      </rPr>
      <t>10</t>
    </r>
  </si>
  <si>
    <t xml:space="preserve">Rādītājs ir mazs absolūtos skaitļos, tāpēc % novirze nav korekti novērtējama, kā arī rādītājs nav precīzi prognozējams. </t>
  </si>
  <si>
    <t>23270</t>
  </si>
  <si>
    <t>Izdarīto operāciju skaits diennakts stacionārā</t>
  </si>
  <si>
    <t>18 762</t>
  </si>
  <si>
    <t>23280</t>
  </si>
  <si>
    <t>Ārstēšanas vidējais ilgums diennakts stacionārā (dienas)</t>
  </si>
  <si>
    <t>23290</t>
  </si>
  <si>
    <t>Vidējais gultu noslogojums diennakts stacionārā, %</t>
  </si>
  <si>
    <t>23300</t>
  </si>
  <si>
    <t>AMBULATORĀ VESELĪBAS APRŪPE</t>
  </si>
  <si>
    <t>23320</t>
  </si>
  <si>
    <t>Ambulatoro apmeklējumu skaits, t.sk.</t>
  </si>
  <si>
    <t>23321</t>
  </si>
  <si>
    <t>Valsts apmaksātie ambulatorie pakalpojumi</t>
  </si>
  <si>
    <t>92 040</t>
  </si>
  <si>
    <t>233211</t>
  </si>
  <si>
    <t>t.sk. dienas stacionārā</t>
  </si>
  <si>
    <t>Samazināts dienas stacionārā veikto pakalpojumu skaits atbilstoši piešķirtajam valsts finansējumam šai programmai, jo pieaug nepieciešamība veikt izmaksu ietilpīgas un komplicētas operācijas dienas stacionārā</t>
  </si>
  <si>
    <t>Samazināts dienas stacionārā veikto pakalpojumu skaits atbilstoši pieejamajiem resursiem un piešķirtajam valsts finansējumam šai programmai, jo pieaug nepieciešamība veikt izmaksu ietilpīgas un komplicētas operācijas dienas stacionārā</t>
  </si>
  <si>
    <t>23322</t>
  </si>
  <si>
    <t>Maksas ambulatorie pakalpojumi</t>
  </si>
  <si>
    <t>23 251</t>
  </si>
  <si>
    <t>233221</t>
  </si>
  <si>
    <t>23330</t>
  </si>
  <si>
    <t>Vidējais gultu skaits dienas stacionārā</t>
  </si>
  <si>
    <t xml:space="preserve">  </t>
  </si>
  <si>
    <t>23340</t>
  </si>
  <si>
    <t>Vidējais gultu noslogojums dienas stacionārā, %</t>
  </si>
  <si>
    <t>23350</t>
  </si>
  <si>
    <r>
      <t>Ambultatori izdarīto operāciju skaits</t>
    </r>
    <r>
      <rPr>
        <vertAlign val="superscript"/>
        <sz val="12"/>
        <rFont val="Times New Roman"/>
        <family val="1"/>
      </rPr>
      <t>11</t>
    </r>
    <r>
      <rPr>
        <sz val="12"/>
        <rFont val="Times New Roman"/>
        <family val="1"/>
      </rPr>
      <t>, t.sk.:</t>
    </r>
  </si>
  <si>
    <t>4 001</t>
  </si>
  <si>
    <t>23351</t>
  </si>
  <si>
    <t>Izdarīto operāciju skaits dienas stacionārā</t>
  </si>
  <si>
    <t>24000</t>
  </si>
  <si>
    <t>SOCIĀLĀ REHABILITĀCIJA</t>
  </si>
  <si>
    <t>24100</t>
  </si>
  <si>
    <t>Klientu dienu skaits</t>
  </si>
  <si>
    <t>24200</t>
  </si>
  <si>
    <r>
      <t xml:space="preserve">Klienta dienas vidējā realizācijas maksa, </t>
    </r>
    <r>
      <rPr>
        <i/>
        <sz val="12"/>
        <rFont val="Times New Roman"/>
        <family val="1"/>
      </rPr>
      <t>euro</t>
    </r>
  </si>
  <si>
    <t>24300</t>
  </si>
  <si>
    <r>
      <t xml:space="preserve">Klienta dienas vidējā pašizmaksa, </t>
    </r>
    <r>
      <rPr>
        <i/>
        <sz val="12"/>
        <rFont val="Times New Roman"/>
        <family val="1"/>
      </rPr>
      <t>euro</t>
    </r>
  </si>
  <si>
    <t>24400</t>
  </si>
  <si>
    <t xml:space="preserve">Klientu skaits </t>
  </si>
  <si>
    <t>24500</t>
  </si>
  <si>
    <r>
      <t xml:space="preserve">Vidējais sociālās aprūpes ilgums, </t>
    </r>
    <r>
      <rPr>
        <i/>
        <sz val="12"/>
        <rFont val="Times New Roman"/>
        <family val="1"/>
      </rPr>
      <t xml:space="preserve">dienas </t>
    </r>
  </si>
  <si>
    <t>25000</t>
  </si>
  <si>
    <t>SOCIĀlĀ APRŪPE</t>
  </si>
  <si>
    <t>25100</t>
  </si>
  <si>
    <t>25200</t>
  </si>
  <si>
    <t>25300</t>
  </si>
  <si>
    <t>25400</t>
  </si>
  <si>
    <t>25500</t>
  </si>
  <si>
    <t>26000</t>
  </si>
  <si>
    <t>PERSONĀLA RĀDĪTĀJI</t>
  </si>
  <si>
    <t>26100</t>
  </si>
  <si>
    <t xml:space="preserve">Štata vienību / likmju vidējais skaits </t>
  </si>
  <si>
    <t>26110</t>
  </si>
  <si>
    <r>
      <t>Ārsti</t>
    </r>
    <r>
      <rPr>
        <vertAlign val="superscript"/>
        <sz val="12"/>
        <rFont val="Times New Roman"/>
        <family val="1"/>
      </rPr>
      <t>3</t>
    </r>
  </si>
  <si>
    <t>26120</t>
  </si>
  <si>
    <r>
      <t>Ārstniecības un pacientu aprūpes personāls</t>
    </r>
    <r>
      <rPr>
        <vertAlign val="superscript"/>
        <sz val="12"/>
        <rFont val="Times New Roman"/>
        <family val="1"/>
      </rPr>
      <t>4</t>
    </r>
  </si>
  <si>
    <t>26130</t>
  </si>
  <si>
    <r>
      <t>Ārstniecības un pacientu aprūpes atbalsta personāls</t>
    </r>
    <r>
      <rPr>
        <vertAlign val="superscript"/>
        <sz val="12"/>
        <rFont val="Times New Roman"/>
        <family val="1"/>
      </rPr>
      <t>5</t>
    </r>
  </si>
  <si>
    <t>Sakarā ar to, ka slimnīcā nodarbinātie sanitāri ieguva māsas palīga izglītību, viņu slodzes tika pārvērstas par māsas palīgu slodzēm.</t>
  </si>
  <si>
    <t>Sakarā ar to, ka slimnīcā nodarbinātie sanitāri ieguva māsas palīga izglītību, viņu slodzes tika pārvērstas par māsu palīgu slodzēm.</t>
  </si>
  <si>
    <t>26140</t>
  </si>
  <si>
    <r>
      <t>Administrācija</t>
    </r>
    <r>
      <rPr>
        <vertAlign val="superscript"/>
        <sz val="12"/>
        <rFont val="Times New Roman"/>
        <family val="1"/>
      </rPr>
      <t>6</t>
    </r>
  </si>
  <si>
    <t>Tika precizēts personāls, kurš uzskaitāms pie Administrācijas izmaksām, kā arī atvērta papildus Iepirkumu nodaļas vadītāja un lietveža slodze.</t>
  </si>
  <si>
    <t>Tika precizēts personāls, kurš uzskaitāms pie Administrācijas izmaksām</t>
  </si>
  <si>
    <t>26150</t>
  </si>
  <si>
    <r>
      <t>Pārējais personāls (t.sk. sanitāri)</t>
    </r>
    <r>
      <rPr>
        <vertAlign val="superscript"/>
        <sz val="12"/>
        <rFont val="Times New Roman"/>
        <family val="1"/>
      </rPr>
      <t>7</t>
    </r>
  </si>
  <si>
    <t>26200</t>
  </si>
  <si>
    <t xml:space="preserve">Vidējie ienākumi uz vienu štata vienību likmi </t>
  </si>
  <si>
    <t>1 935</t>
  </si>
  <si>
    <t>26210</t>
  </si>
  <si>
    <t>Palielinājušās piemaksas, lai nodrošinātu nepārtrauktu Slimnīcas darbību</t>
  </si>
  <si>
    <t>26220</t>
  </si>
  <si>
    <t>26230</t>
  </si>
  <si>
    <t>26240</t>
  </si>
  <si>
    <t>26250</t>
  </si>
  <si>
    <t>26300</t>
  </si>
  <si>
    <t>Vidējais darbinieku skaits (cilv.)</t>
  </si>
  <si>
    <t>26310</t>
  </si>
  <si>
    <t>26320</t>
  </si>
  <si>
    <t>26330</t>
  </si>
  <si>
    <t>Sakarā ar to, ka slimnīcā nodarbinātie sanitāri ieguva māsas palīga izglītību, viņi tika pārcelti darbā par māsas palīgiem.</t>
  </si>
  <si>
    <t>26340</t>
  </si>
  <si>
    <t>Tika precizēts personāls, kurš uzskaitāms pie Administrācijas izmaksām, kā arī pieņemts darbā Iepirkumu nodaļas vadītājs un lietvedis.</t>
  </si>
  <si>
    <t>26350</t>
  </si>
  <si>
    <t>26400</t>
  </si>
  <si>
    <r>
      <t xml:space="preserve">Darbinieku </t>
    </r>
    <r>
      <rPr>
        <b/>
        <u/>
        <sz val="12"/>
        <rFont val="Times New Roman"/>
        <family val="1"/>
      </rPr>
      <t xml:space="preserve">vidējie </t>
    </r>
    <r>
      <rPr>
        <b/>
        <sz val="12"/>
        <rFont val="Times New Roman"/>
        <family val="1"/>
      </rPr>
      <t xml:space="preserve">ienākumi mēnesī: </t>
    </r>
  </si>
  <si>
    <t>1 911</t>
  </si>
  <si>
    <t>26410</t>
  </si>
  <si>
    <t>26420</t>
  </si>
  <si>
    <t>26430</t>
  </si>
  <si>
    <t>26440</t>
  </si>
  <si>
    <t>26450</t>
  </si>
  <si>
    <t>26500</t>
  </si>
  <si>
    <t>Citi personāla rādītāji</t>
  </si>
  <si>
    <t>26510</t>
  </si>
  <si>
    <t>Darbinieku mainība,%</t>
  </si>
  <si>
    <t>26520</t>
  </si>
  <si>
    <t>Vidējais nostrādāto virsstundu skaits uz vienu ārtsniecības personu, kas attiecīgā periodā veic virsstundu darbu</t>
  </si>
  <si>
    <t>2025.gada 1.cet. nostrādās virsstundas ietekmē darbinieku prombūtnes ( bezalgas atvaļinājumi, darba nespējas lapas, atvaļinājumi)</t>
  </si>
  <si>
    <t>2025.gada 2.cet. nostrādās virsstundas ietekmē darbinieku prombūtnes (bezalgas atvaļinājumi, darba nespējas lapas, atvaļinājumi)</t>
  </si>
  <si>
    <t>2025.gada 3.cet. nostrādās virsstundas ietekmē darbinieku prombūtnes (bezalgas atvaļinājumi, darba nespējas lapas, atvaļinājumi)</t>
  </si>
  <si>
    <t>26530</t>
  </si>
  <si>
    <t>Ārstniecības personu īpatsvars, kas veic virsstundu darbu, no kopējā ārstniecības personu skaita, %</t>
  </si>
  <si>
    <t>Lai nodrošinātu nepārtrauktu Slimnīcas darbību, darbinieki veic virsstundu darbu.</t>
  </si>
  <si>
    <t>26540</t>
  </si>
  <si>
    <t>Strādājošo 25-40 gadus veco ārstniecības personu īpatsvars no kopējā ārstniecības personu skaita,%</t>
  </si>
  <si>
    <t>27000</t>
  </si>
  <si>
    <t>PĀRĒJIE RĀDĪTĀJI</t>
  </si>
  <si>
    <t>27100</t>
  </si>
  <si>
    <r>
      <t>Kopējā slimnīcas telpu platība  (m</t>
    </r>
    <r>
      <rPr>
        <vertAlign val="superscript"/>
        <sz val="12"/>
        <rFont val="Times New Roman"/>
        <family val="1"/>
      </rPr>
      <t>2</t>
    </r>
    <r>
      <rPr>
        <sz val="12"/>
        <rFont val="Times New Roman"/>
        <family val="1"/>
      </rPr>
      <t>), t.sk.:</t>
    </r>
  </si>
  <si>
    <t>27 434</t>
  </si>
  <si>
    <t>27110</t>
  </si>
  <si>
    <t>Palīgtelpas (garāžas, šķūņi, katlumājas utt.)</t>
  </si>
  <si>
    <t>8 230</t>
  </si>
  <si>
    <t>27200</t>
  </si>
  <si>
    <t>Centrālapkures patēriņš (MWh)</t>
  </si>
  <si>
    <t>2 996 000</t>
  </si>
  <si>
    <t>1 406 400</t>
  </si>
  <si>
    <r>
      <t>2025. gada vidējā janvāra -marta  temperatūra ir paaugstinājusies par 5</t>
    </r>
    <r>
      <rPr>
        <i/>
        <vertAlign val="superscript"/>
        <sz val="12"/>
        <rFont val="Times New Roman"/>
        <family val="1"/>
        <charset val="186"/>
      </rPr>
      <t>0</t>
    </r>
    <r>
      <rPr>
        <i/>
        <sz val="12"/>
        <rFont val="Times New Roman"/>
        <family val="1"/>
      </rPr>
      <t xml:space="preserve"> C. Slimnīcā pieņemts darbinieks-siltumtehniķis, kas katru dienu manuāli pārbauda un pieregulē siltummezglus katrā ēkā.  </t>
    </r>
  </si>
  <si>
    <t>2 000 800</t>
  </si>
  <si>
    <t>27300</t>
  </si>
  <si>
    <t>Elektroenerģijas patērinš (kWh)</t>
  </si>
  <si>
    <t>1 724 076</t>
  </si>
  <si>
    <t>463 387</t>
  </si>
  <si>
    <t>1 276 649</t>
  </si>
  <si>
    <t>27400</t>
  </si>
  <si>
    <r>
      <t>Ūdens patēriņš  ( m</t>
    </r>
    <r>
      <rPr>
        <vertAlign val="superscript"/>
        <sz val="12"/>
        <rFont val="Times New Roman"/>
        <family val="1"/>
      </rPr>
      <t>3</t>
    </r>
    <r>
      <rPr>
        <sz val="12"/>
        <rFont val="Times New Roman"/>
        <family val="1"/>
      </rPr>
      <t>)</t>
    </r>
  </si>
  <si>
    <t>19 744</t>
  </si>
  <si>
    <t>4 913</t>
  </si>
  <si>
    <t>15 269</t>
  </si>
  <si>
    <t>27500</t>
  </si>
  <si>
    <r>
      <t>Kanalizācija  (m</t>
    </r>
    <r>
      <rPr>
        <vertAlign val="superscript"/>
        <sz val="12"/>
        <rFont val="Times New Roman"/>
        <family val="1"/>
      </rPr>
      <t>3</t>
    </r>
    <r>
      <rPr>
        <sz val="12"/>
        <rFont val="Times New Roman"/>
        <family val="1"/>
      </rPr>
      <t>)</t>
    </r>
  </si>
  <si>
    <t>21 048</t>
  </si>
  <si>
    <t>5 239</t>
  </si>
  <si>
    <t>16 247</t>
  </si>
  <si>
    <t>28000</t>
  </si>
  <si>
    <t>MEDIKAMENTI UN MEDICĪNAS PRECES</t>
  </si>
  <si>
    <t>28100</t>
  </si>
  <si>
    <r>
      <t>Stacionāro pakalpojumu sniegšanai izmantotie medikamenti uz gultas dienu</t>
    </r>
    <r>
      <rPr>
        <vertAlign val="superscript"/>
        <sz val="12"/>
        <rFont val="Times New Roman"/>
        <family val="1"/>
      </rPr>
      <t>8</t>
    </r>
  </si>
  <si>
    <r>
      <rPr>
        <vertAlign val="superscript"/>
        <sz val="12"/>
        <rFont val="Times New Roman"/>
        <family val="1"/>
      </rPr>
      <t xml:space="preserve">1 </t>
    </r>
    <r>
      <rPr>
        <sz val="12"/>
        <rFont val="Times New Roman"/>
        <family val="1"/>
      </rPr>
      <t xml:space="preserve"> "vidējais"  rādītāja vērtība katra mēneša pēdējā datumā un summa, dalot ar mēnešu skaitu pārskata periodā</t>
    </r>
  </si>
  <si>
    <r>
      <rPr>
        <vertAlign val="superscript"/>
        <sz val="12"/>
        <rFont val="Times New Roman"/>
        <family val="1"/>
      </rPr>
      <t xml:space="preserve">2 </t>
    </r>
    <r>
      <rPr>
        <sz val="12"/>
        <rFont val="Times New Roman"/>
        <family val="1"/>
      </rPr>
      <t>hospitalizāciju skaits, bez fiktīvās izrakstīšanās attiecīgā perioda ietvaros</t>
    </r>
  </si>
  <si>
    <r>
      <rPr>
        <vertAlign val="superscript"/>
        <sz val="12"/>
        <rFont val="Times New Roman"/>
        <family val="1"/>
      </rPr>
      <t xml:space="preserve">3 </t>
    </r>
    <r>
      <rPr>
        <sz val="12"/>
        <rFont val="Times New Roman"/>
        <family val="1"/>
      </rPr>
      <t>sertificēti  ārsti, zobārsti un funkcionālie speciālisti, reģistrēti ārsti, zobārsti un funkcionālie speciālisti, rezidenti</t>
    </r>
  </si>
  <si>
    <r>
      <rPr>
        <vertAlign val="superscript"/>
        <sz val="12"/>
        <rFont val="Times New Roman"/>
        <family val="1"/>
      </rPr>
      <t xml:space="preserve">4 </t>
    </r>
    <r>
      <rPr>
        <sz val="12"/>
        <rFont val="Times New Roman"/>
        <family val="1"/>
      </rPr>
      <t>sertificēti/reģistrēti ārsta palīgi, māsas, vecmātes, biomedicīnas laboranti, radiologa asistenti, radiogrāferi, sertificēti masieri, ergoterapeita asistenti, fizioterapeita asistenti, zobu higiēnisti, zobārstniecības māsas, podologi, zobu tehniķi</t>
    </r>
  </si>
  <si>
    <r>
      <rPr>
        <vertAlign val="superscript"/>
        <sz val="12"/>
        <rFont val="Times New Roman"/>
        <family val="1"/>
      </rPr>
      <t xml:space="preserve">5 </t>
    </r>
    <r>
      <rPr>
        <sz val="12"/>
        <rFont val="Times New Roman"/>
        <family val="1"/>
      </rPr>
      <t>māsu palīgi, zobārsta asistenti</t>
    </r>
  </si>
  <si>
    <r>
      <rPr>
        <vertAlign val="superscript"/>
        <sz val="12"/>
        <color rgb="FF000000"/>
        <rFont val="Times New Roman"/>
        <family val="1"/>
        <charset val="186"/>
      </rPr>
      <t xml:space="preserve">6 </t>
    </r>
    <r>
      <rPr>
        <sz val="12"/>
        <color rgb="FF000000"/>
        <rFont val="Times New Roman"/>
        <family val="1"/>
        <charset val="186"/>
      </rPr>
      <t xml:space="preserve">valde, padome, valdes/padomes birojs, ārstniecības personām, kuras tiešā veidā nav saistītas ar pacientu ārstēšanu -  klīniku vadītājiem, virsārstiem, profila virsārstiem, vecākajiem ārstiem, galvenajām māsām, ārstiem koordinatoriem, projektu vadītājiem, departamentu direktoriem un to vietniekiem, tehniskajam direktoram, kā arī sekojošām struktūrvienībām: komunikācijas, personāla vadības, finanšu, u.c. </t>
    </r>
  </si>
  <si>
    <r>
      <rPr>
        <vertAlign val="superscript"/>
        <sz val="12"/>
        <rFont val="Times New Roman"/>
        <family val="1"/>
      </rPr>
      <t xml:space="preserve">7 </t>
    </r>
    <r>
      <rPr>
        <sz val="12"/>
        <rFont val="Times New Roman"/>
        <family val="1"/>
      </rPr>
      <t>saimnieciskais personāls, ārstniecības un aprūpes procesu atbalsta personāls (t.sk. sanitāri)</t>
    </r>
  </si>
  <si>
    <r>
      <rPr>
        <vertAlign val="superscript"/>
        <sz val="12"/>
        <rFont val="Times New Roman"/>
        <family val="1"/>
      </rPr>
      <t xml:space="preserve">8 </t>
    </r>
    <r>
      <rPr>
        <sz val="12"/>
        <rFont val="Times New Roman"/>
        <family val="1"/>
      </rPr>
      <t>medikamenti, medicīnas preces, implanti, sterilizācijas materiāli, medicīnas instrumenti, laboratorijas preces stacionāro pakalpojumu nodrošināšanai (bez bezmaksas medikamnetiem un med. Precēm)/ Stacionāra gultu dienu skaits</t>
    </r>
  </si>
  <si>
    <r>
      <rPr>
        <vertAlign val="superscript"/>
        <sz val="12"/>
        <rFont val="Times New Roman"/>
        <family val="1"/>
      </rPr>
      <t xml:space="preserve">9 </t>
    </r>
    <r>
      <rPr>
        <sz val="12"/>
        <rFont val="Times New Roman"/>
        <family val="1"/>
      </rPr>
      <t>rehospitalizāciju skaitā ieskaita pacientus, kas izrakstīti uz mājām (izrakstīšanās kustība 31) un kas atkārtoti hospitalizēti tajā pašā vai nākamajā dienā, izņemot pacientus, kuru nākamā hospitalizācija ir aprūpe vai rehabilitācija</t>
    </r>
  </si>
  <si>
    <r>
      <rPr>
        <vertAlign val="superscript"/>
        <sz val="12"/>
        <rFont val="Times New Roman"/>
        <family val="1"/>
      </rPr>
      <t>10</t>
    </r>
    <r>
      <rPr>
        <sz val="12"/>
        <color theme="1"/>
        <rFont val="Calibri"/>
        <family val="2"/>
        <charset val="186"/>
        <scheme val="minor"/>
      </rPr>
      <t xml:space="preserve"> </t>
    </r>
    <r>
      <rPr>
        <sz val="12"/>
        <rFont val="Times New Roman"/>
        <family val="1"/>
      </rPr>
      <t>rehospitalizāciju skaitā ieskaita pacientus, kas atkārtoti hospitalizēti tajā pašā vai nākamajā dienā, kuru nākamā hospitalizācija ir aprūpe vai rehabilitācija (atbilstoši NVD mājas lapā publicētā "Pārskats par uz mājām izrakstītiem pacientiem, kas atkārtoti hospitalizēti tajā pašā vai nākamajā dienā" izslēgšanas kritērijos GPF kodam)</t>
    </r>
  </si>
  <si>
    <r>
      <rPr>
        <vertAlign val="superscript"/>
        <sz val="12"/>
        <rFont val="Times New Roman"/>
        <family val="1"/>
      </rPr>
      <t xml:space="preserve">11 </t>
    </r>
    <r>
      <rPr>
        <sz val="12"/>
        <rFont val="Times New Roman"/>
        <family val="1"/>
      </rPr>
      <t>atbilstoši NVD mājas lapā publocētajam "Valsts apmaksājamo manipulāciju un to apmaksas nosacījumu saraksts" Lielo ķirurģisko operāciju klasifikatoram (10.kolonna)</t>
    </r>
  </si>
  <si>
    <r>
      <rPr>
        <vertAlign val="superscript"/>
        <sz val="12"/>
        <rFont val="Times New Roman"/>
        <family val="1"/>
      </rPr>
      <t xml:space="preserve">12 </t>
    </r>
    <r>
      <rPr>
        <sz val="12"/>
        <rFont val="Times New Roman"/>
        <family val="1"/>
      </rPr>
      <t>detalizēti skaidrojumi par noviržu iemesliem periodā no n gada sākuma līdz pārskata ceturkšņa beigām gadījumos, ja novirze ir virs 15%.</t>
    </r>
  </si>
  <si>
    <t>Kopā intelektuālie īpašumi</t>
  </si>
  <si>
    <t xml:space="preserve">Attīstības pasākumi un programmas </t>
  </si>
  <si>
    <t xml:space="preserve">Datorprogrammas </t>
  </si>
  <si>
    <t>Pārējās licences, koncesijas un patenti, preču zīmes un tamlīdzīgas tiesības</t>
  </si>
  <si>
    <t xml:space="preserve">Pārējie nemateriālie ieguldījumi </t>
  </si>
  <si>
    <t>Kopā nekustamie īpašumi</t>
  </si>
  <si>
    <t>2025. gada janvārī - jūnijā  plānota ERAF projekta ietvaros rekontsrukcija  ēkai, nodošana būs 2025. gada III ceturksnī.</t>
  </si>
  <si>
    <t>2025. gada janvārī - septembrī  plānotā ERAF projekta ietvaros rekontsrukcija  ēkai, nodošana būs 2025. gada IV ceturksnī.</t>
  </si>
  <si>
    <t xml:space="preserve">Nedzīvojamās ēkas </t>
  </si>
  <si>
    <t xml:space="preserve">Zeme zem ēkām un būvēm </t>
  </si>
  <si>
    <t xml:space="preserve">Pārējā zeme </t>
  </si>
  <si>
    <t xml:space="preserve">Celtnes un būves </t>
  </si>
  <si>
    <t xml:space="preserve">Pārējais nekustamais īpašums </t>
  </si>
  <si>
    <t>Kapitālais remonts un rekonstrukcija</t>
  </si>
  <si>
    <t xml:space="preserve">Nepabeigtā būvniecība </t>
  </si>
  <si>
    <t>Kopā kustamie īpašumi</t>
  </si>
  <si>
    <t>2025. gada janvārī - martā, izvērtējot nepieciešamību, pamatlīdzekļi iegādāti mazāk nekā plānots ERAF projekta  ietvaros.</t>
  </si>
  <si>
    <t xml:space="preserve">2025.gada javārī - jūnijā ERAF projekta ietvaros iegādāti vairāk pamatlīdzekļi nekā plānots. </t>
  </si>
  <si>
    <t xml:space="preserve">Tehnoloģiskās iekārtas un mašīnas </t>
  </si>
  <si>
    <t>Medicīnas un laboratoijas iekārtas</t>
  </si>
  <si>
    <t>Urbja motors  ar uzgaļiem  -3 gb</t>
  </si>
  <si>
    <t>Ultraskaņas iekārta - 1 gb</t>
  </si>
  <si>
    <t>Rokturis 180grādi - 2 gb</t>
  </si>
  <si>
    <t>Datorkardiogrāfs ar programmu - 1 gb</t>
  </si>
  <si>
    <t>Krāsns dabiskās konvekcijas ar logu - 1 gb</t>
  </si>
  <si>
    <t>Nocicepcijas moludis MOC-9M ANI</t>
  </si>
  <si>
    <t>Uzmavas, aizsargi, skavas, sieti, vītņgrieži, rokturi u.c  - Elanus  Medical Latvija SIA</t>
  </si>
  <si>
    <t>Rentgena iekārta ķirurģiskā C- loka ar 3D funkciju  (ERAF projekta ietvaros)</t>
  </si>
  <si>
    <t>Neirostimulators ISIS Xpress  16 kanālu sistēma (ERAF projekta ietvaros)</t>
  </si>
  <si>
    <t>Anestēzijas iekārta Mindray (ERAF projekta ietvaros)</t>
  </si>
  <si>
    <t>Pārējie pamatlīdzekļi (ERAF projekta ietvaros)</t>
  </si>
  <si>
    <t>Rentgena iekārta Radigraphy 7300C (ESAF projekta ietvaros)</t>
  </si>
  <si>
    <t xml:space="preserve">Ultrasonogrāfijas iekārta Aplio </t>
  </si>
  <si>
    <t>Operāciju galda virsma ar pamatlampu</t>
  </si>
  <si>
    <t>Anestēzijas darba stacija Mindray A7</t>
  </si>
  <si>
    <t>Reversās osmozes iekārta Watex WRO200</t>
  </si>
  <si>
    <t>Koplers endoskopisks C-Mount</t>
  </si>
  <si>
    <t>Spēka instruments orthrodrive DBC-700</t>
  </si>
  <si>
    <t xml:space="preserve">Pērējās </t>
  </si>
  <si>
    <t>Pārējās tehnoloģiskās iekārtas un mašīnas</t>
  </si>
  <si>
    <t>Siltummezgls-4gb</t>
  </si>
  <si>
    <t xml:space="preserve">Transportlīdzekļi </t>
  </si>
  <si>
    <t xml:space="preserve">Saimniecības pamatlīdzekļi </t>
  </si>
  <si>
    <t>Skapis medikamentu</t>
  </si>
  <si>
    <t>Arhīva plaukti</t>
  </si>
  <si>
    <t>Dīvāns</t>
  </si>
  <si>
    <t>Galds Mittzon -2gb</t>
  </si>
  <si>
    <t>Žalūzijas rullo -5gb</t>
  </si>
  <si>
    <t>Izlietne ķirurģiskā dubultā</t>
  </si>
  <si>
    <t>Durvis-8gb</t>
  </si>
  <si>
    <t>Datortehnika, sakaru un cita biroja tehnika</t>
  </si>
  <si>
    <t>Video novērošanas ieraksta -7 gb</t>
  </si>
  <si>
    <t>Videokonferenču iekārta</t>
  </si>
  <si>
    <t>Displejs - interaktīvais ekrāns Prestigio</t>
  </si>
  <si>
    <t>Datori, monitori, printeri</t>
  </si>
  <si>
    <t>Mobilais telefons -2gb</t>
  </si>
  <si>
    <t>Disku masīvs servera datu glabāšanai</t>
  </si>
  <si>
    <t>Klēpjdators ar programmatūru (ERAF projekta ietvaros )</t>
  </si>
  <si>
    <t xml:space="preserve">Pārējie iepriekš neklasificētie pamatlīdzekļi </t>
  </si>
  <si>
    <t xml:space="preserve">Ilgtermiņa ieguldījumi nomātajos pamatlīdzekļos </t>
  </si>
  <si>
    <t>Kopā ieguldījumi</t>
  </si>
  <si>
    <t xml:space="preserve">     Skaidrojumi par novirzēm ir jāsniedz  sekojošiem Ieguldījumu tāmes pozīciju kodiem: 51000, 52000 un 53000.</t>
  </si>
  <si>
    <t>N.p.k.</t>
  </si>
  <si>
    <t>Atlikums uz pārskata perioda beigām</t>
  </si>
  <si>
    <t>t.sk. summa,
 kurai iestājies
 maks.termiņš</t>
  </si>
  <si>
    <t>Mazāk par 30 dienām kavētie maksājumi</t>
  </si>
  <si>
    <t>30 un vairāk dienas kavētie maksājumi</t>
  </si>
  <si>
    <t>Skaidrojumi</t>
  </si>
  <si>
    <t>1</t>
  </si>
  <si>
    <t>1.</t>
  </si>
  <si>
    <t>1.1.</t>
  </si>
  <si>
    <t>1.1.1.</t>
  </si>
  <si>
    <t>…</t>
  </si>
  <si>
    <t>1.1.2.</t>
  </si>
  <si>
    <t>utt.</t>
  </si>
  <si>
    <t>1.2.</t>
  </si>
  <si>
    <t>1.2.1.</t>
  </si>
  <si>
    <t>1.2.2.</t>
  </si>
  <si>
    <t>1.3.</t>
  </si>
  <si>
    <t>1.3.1.</t>
  </si>
  <si>
    <t>No Veselības norēķinu centra saņemtā investīciju nauda</t>
  </si>
  <si>
    <t>1.3.2.</t>
  </si>
  <si>
    <t xml:space="preserve">No ERAF saņemtā investīcija  (3DP/3.1.5.3.1/11/IPIA/VEC/013) </t>
  </si>
  <si>
    <t xml:space="preserve">No ERAF saņemtā investīcija  (3DP/3.1.5.3.1/10/IPIA/VEC/017) </t>
  </si>
  <si>
    <t xml:space="preserve">No ERAF saņemtā investīcija  (9.3.2.0/17/I/002) </t>
  </si>
  <si>
    <t xml:space="preserve">No NVD projekta līguma Nr. 1936 </t>
  </si>
  <si>
    <t xml:space="preserve">No NVD projekta līguma Nr. 2550 </t>
  </si>
  <si>
    <t xml:space="preserve">No NVD projekta līguma Nr. 1874 </t>
  </si>
  <si>
    <t>No NVD projekta līguma Nr. 01-11.4/110</t>
  </si>
  <si>
    <t>No ERAF saņemtā investīcija ( 4.1.1.1/1/23/I/002 )</t>
  </si>
  <si>
    <t>No ERAF saņemtā investīcija ( 4.1.1.2.i.0/2/25/I/CFLA/001 )</t>
  </si>
  <si>
    <t>1.4.</t>
  </si>
  <si>
    <t>Citi kreditori</t>
  </si>
  <si>
    <t>1.4.1.</t>
  </si>
  <si>
    <t>LAGRON SIA</t>
  </si>
  <si>
    <t>Garantijas summa 5% projektiem</t>
  </si>
  <si>
    <t>1.4.2.</t>
  </si>
  <si>
    <t>1.4.3</t>
  </si>
  <si>
    <t>1.4.4</t>
  </si>
  <si>
    <t>1.4.5</t>
  </si>
  <si>
    <t>2.</t>
  </si>
  <si>
    <t>2.1.</t>
  </si>
  <si>
    <t>2.1.1.</t>
  </si>
  <si>
    <t>2.1.2.</t>
  </si>
  <si>
    <t>2.2.</t>
  </si>
  <si>
    <t>2.2.1.</t>
  </si>
  <si>
    <t>2.2.2.</t>
  </si>
  <si>
    <t>2.3.</t>
  </si>
  <si>
    <t xml:space="preserve">No pircējiem saņemtie avansi </t>
  </si>
  <si>
    <t>2.3.1.</t>
  </si>
  <si>
    <t>Fiziskas personas (pacienti )</t>
  </si>
  <si>
    <t>Fiziskao personu - pacientu priekšapmaksa maksas operācijām un maksas konsultācijām attālināti.</t>
  </si>
  <si>
    <t>2.3.2.</t>
  </si>
  <si>
    <t>2.4.</t>
  </si>
  <si>
    <r>
      <t xml:space="preserve">Parādi piegādātājiem un darbuzņēmējiem </t>
    </r>
    <r>
      <rPr>
        <b/>
        <vertAlign val="superscript"/>
        <sz val="12"/>
        <rFont val="Times New Roman"/>
        <family val="1"/>
      </rPr>
      <t>1</t>
    </r>
  </si>
  <si>
    <t>2.4.1.</t>
  </si>
  <si>
    <t>Johonson AB Latvijas filiāle SIA</t>
  </si>
  <si>
    <t>Medicīnas preces</t>
  </si>
  <si>
    <t>2.4.2.</t>
  </si>
  <si>
    <t>Arbor Medical Korporācija, SIA</t>
  </si>
  <si>
    <t>Medicīnas iekārtas</t>
  </si>
  <si>
    <t>Elanus Medical Latvia,   SIA</t>
  </si>
  <si>
    <t>A.MEDICAL SIA</t>
  </si>
  <si>
    <t>Medasistents SIA</t>
  </si>
  <si>
    <t>Pārējie - 129 gb</t>
  </si>
  <si>
    <t>Garantijas summa 5% projektiem - 84754 eiro</t>
  </si>
  <si>
    <t>2.5.</t>
  </si>
  <si>
    <t>Nodokļi un sociālās nodroš.maksājumi</t>
  </si>
  <si>
    <t>2.5.1.</t>
  </si>
  <si>
    <t>Sociālās nodrošināšanas iemaksas</t>
  </si>
  <si>
    <t>2.5.2.</t>
  </si>
  <si>
    <t>Iedzīvotāju ienākuma nodoklis</t>
  </si>
  <si>
    <t>2.5.3.</t>
  </si>
  <si>
    <t>Pievienotās vērtības nodoklis</t>
  </si>
  <si>
    <t>2.5.4.</t>
  </si>
  <si>
    <t>Uzņēmējdarbības riska nodeva</t>
  </si>
  <si>
    <t>2.6.</t>
  </si>
  <si>
    <t xml:space="preserve">Pārējie kreditori </t>
  </si>
  <si>
    <t>2.6.1.</t>
  </si>
  <si>
    <t>Neizmaksātās darba algas</t>
  </si>
  <si>
    <t>2.6.2.</t>
  </si>
  <si>
    <t>Uzkrājumi saistībām</t>
  </si>
  <si>
    <t xml:space="preserve">Pārējie kreditori   - 4 gb                                                  </t>
  </si>
  <si>
    <t>2.7.</t>
  </si>
  <si>
    <t>2.7.1.</t>
  </si>
  <si>
    <t>2.7.2.</t>
  </si>
  <si>
    <t>No ERAF saņemtā investīcija (4.1.1.1/1/23/I/002</t>
  </si>
  <si>
    <t>No ESAF saņemtā investīcija (4.1.1.2.i.0/2/25/I/CFLA/001</t>
  </si>
  <si>
    <t>2.8.</t>
  </si>
  <si>
    <t>2.8.1.</t>
  </si>
  <si>
    <t xml:space="preserve">Darbinieku neizmantotie atvaļinājumi par pārskata gadu </t>
  </si>
  <si>
    <t xml:space="preserve">Pārējās </t>
  </si>
  <si>
    <t>Debitori</t>
  </si>
  <si>
    <r>
      <t>Pircēju,pasūtītāju parādi</t>
    </r>
    <r>
      <rPr>
        <i/>
        <sz val="12"/>
        <rFont val="Times New Roman"/>
        <family val="1"/>
      </rPr>
      <t xml:space="preserve"> </t>
    </r>
    <r>
      <rPr>
        <b/>
        <vertAlign val="superscript"/>
        <sz val="12"/>
        <rFont val="Times New Roman"/>
        <family val="1"/>
      </rPr>
      <t>2</t>
    </r>
  </si>
  <si>
    <t>Nacionālais veselības dienests</t>
  </si>
  <si>
    <t>Stacionārie medicīniskie pakalpojumi</t>
  </si>
  <si>
    <t>Ambulatorie medeicīniskie pakalpojumi</t>
  </si>
  <si>
    <t>Latvijas universitāte</t>
  </si>
  <si>
    <t>Nomas pakalpojumim un rezidentu apmācība</t>
  </si>
  <si>
    <t>Rīgas Stradiņa universitāte</t>
  </si>
  <si>
    <t>c/o PAREXEl international(IRL) limited</t>
  </si>
  <si>
    <t>Pacientu pētījumi</t>
  </si>
  <si>
    <t>Pārējie - 7894 gb</t>
  </si>
  <si>
    <t>Uzkrājumi 318988 eur</t>
  </si>
  <si>
    <t>Radniecīgo uzņēmumu parādi</t>
  </si>
  <si>
    <t>3.</t>
  </si>
  <si>
    <t>Citi debitori</t>
  </si>
  <si>
    <t>3.1.</t>
  </si>
  <si>
    <t>Drošības naudas un maiņas naudas kasēs</t>
  </si>
  <si>
    <t>Maiņas naudas kasēs</t>
  </si>
  <si>
    <t>3.2.</t>
  </si>
  <si>
    <t>Latvijas Pasts, VENDEN SIA</t>
  </si>
  <si>
    <t>Drošības nauda</t>
  </si>
  <si>
    <t>4.</t>
  </si>
  <si>
    <r>
      <t xml:space="preserve">Nākamo periodu izmaksas </t>
    </r>
    <r>
      <rPr>
        <b/>
        <vertAlign val="superscript"/>
        <sz val="12"/>
        <rFont val="Times New Roman"/>
        <family val="1"/>
      </rPr>
      <t>2</t>
    </r>
  </si>
  <si>
    <t>4.1.</t>
  </si>
  <si>
    <t>OptiCom SIA</t>
  </si>
  <si>
    <t>Programmatūras uzturēšana un apkalpošana</t>
  </si>
  <si>
    <t>4.2.</t>
  </si>
  <si>
    <t>DPA SIA</t>
  </si>
  <si>
    <t>Licenšu noma un programmatūras pakalpojumi</t>
  </si>
  <si>
    <t>4.3.</t>
  </si>
  <si>
    <t>Datamed  SIA</t>
  </si>
  <si>
    <t>Programmatūras uzturēšana un apkalpošana,licences</t>
  </si>
  <si>
    <t>4.4.</t>
  </si>
  <si>
    <t>Ergo Insurance SE latvijas filiāle</t>
  </si>
  <si>
    <t>Nekustamā īpašuma apdrošināšana</t>
  </si>
  <si>
    <t>4.5.</t>
  </si>
  <si>
    <t>Ipro SIA</t>
  </si>
  <si>
    <t>Pārējie - 11 gb</t>
  </si>
  <si>
    <t>5.</t>
  </si>
  <si>
    <r>
      <t xml:space="preserve">Uzkrātie ieņēmumi </t>
    </r>
    <r>
      <rPr>
        <b/>
        <vertAlign val="superscript"/>
        <sz val="12"/>
        <rFont val="Times New Roman"/>
        <family val="1"/>
      </rPr>
      <t>2</t>
    </r>
  </si>
  <si>
    <t>5.1.</t>
  </si>
  <si>
    <t>5.2.</t>
  </si>
  <si>
    <t>6.</t>
  </si>
  <si>
    <t xml:space="preserve">Pārējie debitori </t>
  </si>
  <si>
    <r>
      <rPr>
        <vertAlign val="superscript"/>
        <sz val="12"/>
        <rFont val="Times New Roman"/>
        <family val="1"/>
      </rPr>
      <t>1</t>
    </r>
    <r>
      <rPr>
        <sz val="12"/>
        <rFont val="Times New Roman"/>
        <family val="1"/>
      </rPr>
      <t xml:space="preserve"> jānorāda 5 lielākos kreditorus, visus kavētos maksājumus un pārējo kreditoru kopsummu un kreditoru skaitu</t>
    </r>
  </si>
  <si>
    <r>
      <rPr>
        <vertAlign val="superscript"/>
        <sz val="12"/>
        <rFont val="Times New Roman"/>
        <family val="1"/>
      </rPr>
      <t>2</t>
    </r>
    <r>
      <rPr>
        <sz val="12"/>
        <rFont val="Times New Roman"/>
        <family val="1"/>
      </rPr>
      <t xml:space="preserve"> jānorāda 5 lielākos debitorus, visus kavētos maksājumus, pacientu parādu kopsummu un pārējo debitoru kopsummu un debitoru skaitu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</si>
</sst>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quot;€&quot;\ * #,##0.00_-;\-&quot;€&quot;\ * #,##0.00_-;_-&quot;€&quot;\ * &quot;-&quot;??_-;_-@_-"/>
    <numFmt numFmtId="165" formatCode="_-* #,##0.00\ _€_-;\-* #,##0.00\ _€_-;_-* &quot;-&quot;??\ _€_-;_-@_-"/>
    <numFmt numFmtId="166" formatCode="0.0%"/>
    <numFmt numFmtId="167" formatCode="_-* #,##0.00\ _L_s_-;\-* #,##0.00\ _L_s_-;_-* &quot;-&quot;??\ _L_s_-;_-@_-"/>
    <numFmt numFmtId="168" formatCode="#,##0\ _€"/>
  </numFmts>
  <fonts count="93" x14ac:knownFonts="1">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0"/>
      <name val="Arial"/>
      <family val="2"/>
    </font>
    <font>
      <sz val="11"/>
      <color indexed="8"/>
      <name val="Calibri"/>
      <family val="2"/>
    </font>
    <font>
      <sz val="12"/>
      <color indexed="8"/>
      <name val="Times New Roman"/>
      <family val="2"/>
      <charset val="186"/>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4"/>
      <name val="Calibri"/>
      <family val="2"/>
      <charset val="186"/>
    </font>
    <font>
      <b/>
      <sz val="13"/>
      <color indexed="54"/>
      <name val="Calibri"/>
      <family val="2"/>
      <charset val="186"/>
    </font>
    <font>
      <b/>
      <sz val="11"/>
      <color indexed="54"/>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sz val="18"/>
      <color indexed="54"/>
      <name val="Calibri Light"/>
      <family val="2"/>
      <charset val="186"/>
    </font>
    <font>
      <b/>
      <sz val="11"/>
      <color indexed="8"/>
      <name val="Calibri"/>
      <family val="2"/>
      <charset val="186"/>
    </font>
    <font>
      <sz val="11"/>
      <color indexed="10"/>
      <name val="Calibri"/>
      <family val="2"/>
      <charset val="186"/>
    </font>
    <font>
      <sz val="10"/>
      <name val="Helv"/>
      <charset val="186"/>
    </font>
    <font>
      <b/>
      <sz val="15"/>
      <color indexed="56"/>
      <name val="Calibri"/>
      <family val="2"/>
      <charset val="186"/>
    </font>
    <font>
      <b/>
      <sz val="13"/>
      <color indexed="56"/>
      <name val="Calibri"/>
      <family val="2"/>
      <charset val="186"/>
    </font>
    <font>
      <b/>
      <sz val="11"/>
      <color indexed="56"/>
      <name val="Calibri"/>
      <family val="2"/>
      <charset val="186"/>
    </font>
    <font>
      <u/>
      <sz val="10"/>
      <color indexed="12"/>
      <name val="Arial"/>
      <family val="2"/>
      <charset val="186"/>
    </font>
    <font>
      <sz val="12"/>
      <color indexed="8"/>
      <name val="Calibri"/>
      <family val="2"/>
      <charset val="186"/>
    </font>
    <font>
      <sz val="10"/>
      <color indexed="8"/>
      <name val="MS Sans Serif"/>
      <family val="2"/>
      <charset val="186"/>
    </font>
    <font>
      <sz val="12"/>
      <name val="Times New Roman"/>
      <family val="1"/>
      <charset val="186"/>
    </font>
    <font>
      <sz val="10"/>
      <name val="Garamond"/>
      <family val="1"/>
      <charset val="186"/>
    </font>
    <font>
      <sz val="10"/>
      <name val="Tahoma"/>
      <family val="2"/>
      <charset val="186"/>
    </font>
    <font>
      <b/>
      <sz val="18"/>
      <color indexed="56"/>
      <name val="Cambria"/>
      <family val="2"/>
      <charset val="186"/>
    </font>
    <font>
      <sz val="11"/>
      <color theme="1"/>
      <name val="Calibri"/>
      <family val="2"/>
      <scheme val="minor"/>
    </font>
    <font>
      <sz val="14"/>
      <name val="Arial"/>
      <family val="2"/>
      <charset val="186"/>
    </font>
    <font>
      <sz val="14"/>
      <name val="Times New Roman"/>
      <family val="1"/>
    </font>
    <font>
      <b/>
      <sz val="14"/>
      <name val="Times New Roman"/>
      <family val="1"/>
    </font>
    <font>
      <i/>
      <sz val="14"/>
      <name val="Times New Roman"/>
      <family val="1"/>
    </font>
    <font>
      <b/>
      <i/>
      <sz val="14"/>
      <name val="Times New Roman"/>
      <family val="1"/>
    </font>
    <font>
      <b/>
      <sz val="14"/>
      <name val="Times New Roman"/>
      <family val="1"/>
      <charset val="186"/>
    </font>
    <font>
      <sz val="14"/>
      <name val="Times New Roman"/>
      <family val="1"/>
      <charset val="186"/>
    </font>
    <font>
      <b/>
      <sz val="12"/>
      <name val="Times New Roman"/>
      <family val="1"/>
    </font>
    <font>
      <sz val="12"/>
      <name val="Times New Roman"/>
      <family val="1"/>
    </font>
    <font>
      <i/>
      <sz val="12"/>
      <name val="Times New Roman"/>
      <family val="1"/>
    </font>
    <font>
      <sz val="8"/>
      <name val="Arial"/>
      <family val="2"/>
      <charset val="186"/>
    </font>
    <font>
      <vertAlign val="superscript"/>
      <sz val="12"/>
      <name val="Times New Roman"/>
      <family val="1"/>
    </font>
    <font>
      <b/>
      <i/>
      <sz val="12"/>
      <name val="Times New Roman"/>
      <family val="1"/>
    </font>
    <font>
      <u/>
      <sz val="12"/>
      <name val="Times New Roman"/>
      <family val="1"/>
    </font>
    <font>
      <b/>
      <u/>
      <sz val="12"/>
      <name val="Times New Roman"/>
      <family val="1"/>
    </font>
    <font>
      <sz val="12"/>
      <color theme="1"/>
      <name val="Calibri"/>
      <family val="2"/>
      <charset val="186"/>
      <scheme val="minor"/>
    </font>
    <font>
      <i/>
      <vertAlign val="superscript"/>
      <sz val="12"/>
      <name val="Times New Roman"/>
      <family val="1"/>
    </font>
    <font>
      <b/>
      <sz val="12"/>
      <color rgb="FF414142"/>
      <name val="Times New Roman"/>
      <family val="1"/>
    </font>
    <font>
      <b/>
      <sz val="12"/>
      <name val="Times New Roman"/>
      <family val="1"/>
      <charset val="186"/>
    </font>
    <font>
      <i/>
      <sz val="12"/>
      <name val="Times New Roman"/>
      <family val="1"/>
      <charset val="186"/>
    </font>
    <font>
      <b/>
      <i/>
      <sz val="12"/>
      <name val="Times New Roman"/>
      <family val="1"/>
      <charset val="186"/>
    </font>
    <font>
      <b/>
      <i/>
      <sz val="14"/>
      <name val="Times New Roman"/>
      <family val="1"/>
      <charset val="186"/>
    </font>
    <font>
      <u/>
      <sz val="12"/>
      <name val="Times New Roman"/>
      <family val="1"/>
      <charset val="186"/>
    </font>
    <font>
      <sz val="12"/>
      <name val="Arial"/>
      <family val="2"/>
      <charset val="186"/>
    </font>
    <font>
      <b/>
      <sz val="14"/>
      <name val="Arial"/>
      <family val="2"/>
      <charset val="186"/>
    </font>
    <font>
      <b/>
      <vertAlign val="superscript"/>
      <sz val="12"/>
      <name val="Times New Roman"/>
      <family val="1"/>
    </font>
    <font>
      <sz val="12"/>
      <color rgb="FFFF0000"/>
      <name val="Times New Roman"/>
      <family val="1"/>
    </font>
    <font>
      <b/>
      <sz val="12"/>
      <color rgb="FFFF0000"/>
      <name val="Times New Roman"/>
      <family val="1"/>
    </font>
    <font>
      <sz val="12"/>
      <color rgb="FFFF0000"/>
      <name val="Times New Roman"/>
      <family val="1"/>
      <charset val="186"/>
    </font>
    <font>
      <sz val="12"/>
      <color rgb="FF000000"/>
      <name val="Times New Roman"/>
      <family val="1"/>
      <charset val="186"/>
    </font>
    <font>
      <sz val="12"/>
      <color rgb="FF000000"/>
      <name val="Times New Roman"/>
      <family val="1"/>
    </font>
    <font>
      <i/>
      <sz val="11"/>
      <color rgb="FF000000"/>
      <name val="Aptos"/>
      <family val="2"/>
      <charset val="1"/>
    </font>
    <font>
      <i/>
      <sz val="12"/>
      <color rgb="FF000000"/>
      <name val="Times New Roman"/>
      <family val="1"/>
      <charset val="186"/>
    </font>
    <font>
      <b/>
      <sz val="12"/>
      <color rgb="FF000000"/>
      <name val="Times New Roman"/>
      <family val="1"/>
    </font>
    <font>
      <i/>
      <sz val="12"/>
      <color rgb="FF000000"/>
      <name val="Times New Roman"/>
      <family val="1"/>
    </font>
    <font>
      <b/>
      <sz val="12"/>
      <color rgb="FF000000"/>
      <name val="Times New Roman"/>
      <family val="1"/>
      <charset val="186"/>
    </font>
    <font>
      <sz val="11"/>
      <color rgb="FF000000"/>
      <name val="Aptos Narrow"/>
      <family val="2"/>
      <charset val="186"/>
    </font>
    <font>
      <sz val="9"/>
      <name val="Cambria"/>
      <family val="1"/>
      <charset val="186"/>
    </font>
    <font>
      <sz val="9"/>
      <color rgb="FFFF0000"/>
      <name val="Cambria"/>
      <family val="1"/>
      <charset val="186"/>
    </font>
    <font>
      <sz val="14"/>
      <color rgb="FF000000"/>
      <name val="Arial"/>
      <family val="2"/>
      <charset val="186"/>
    </font>
    <font>
      <sz val="14"/>
      <color rgb="FF000000"/>
      <name val="Times New Roman"/>
      <family val="1"/>
      <charset val="186"/>
    </font>
    <font>
      <vertAlign val="superscript"/>
      <sz val="12"/>
      <color rgb="FF000000"/>
      <name val="Times New Roman"/>
      <family val="1"/>
    </font>
    <font>
      <b/>
      <i/>
      <sz val="12"/>
      <color rgb="FF000000"/>
      <name val="Times New Roman"/>
      <family val="1"/>
    </font>
    <font>
      <i/>
      <vertAlign val="superscript"/>
      <sz val="12"/>
      <name val="Times New Roman"/>
      <family val="1"/>
      <charset val="186"/>
    </font>
    <font>
      <sz val="10"/>
      <name val="Times New Roman"/>
      <family val="1"/>
    </font>
    <font>
      <sz val="10"/>
      <name val="Times New Roman"/>
      <family val="1"/>
      <charset val="186"/>
    </font>
    <font>
      <sz val="10"/>
      <color rgb="FFFF0000"/>
      <name val="Times New Roman"/>
      <family val="1"/>
    </font>
    <font>
      <sz val="10"/>
      <color rgb="FF000000"/>
      <name val="Times New Roman"/>
      <family val="1"/>
      <charset val="186"/>
    </font>
    <font>
      <sz val="10"/>
      <color rgb="FF000000"/>
      <name val="Times New Roman"/>
      <family val="1"/>
    </font>
    <font>
      <b/>
      <sz val="10"/>
      <color rgb="FF000000"/>
      <name val="Times New Roman"/>
      <family val="1"/>
    </font>
    <font>
      <b/>
      <sz val="10"/>
      <color rgb="FF000000"/>
      <name val="Times New Roman"/>
      <family val="1"/>
      <charset val="186"/>
    </font>
    <font>
      <sz val="12"/>
      <color rgb="FF000000"/>
      <name val="Arial"/>
      <family val="2"/>
      <charset val="186"/>
    </font>
    <font>
      <vertAlign val="superscript"/>
      <sz val="12"/>
      <color rgb="FF000000"/>
      <name val="Times New Roman"/>
      <family val="1"/>
      <charset val="186"/>
    </font>
    <font>
      <sz val="11"/>
      <color rgb="FF000000"/>
      <name val="Times New Roman"/>
      <family val="1"/>
      <charset val="186"/>
    </font>
  </fonts>
  <fills count="4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indexed="27"/>
      </patternFill>
    </fill>
    <fill>
      <patternFill patternType="solid">
        <fgColor indexed="31"/>
      </patternFill>
    </fill>
    <fill>
      <patternFill patternType="solid">
        <fgColor indexed="47"/>
      </patternFill>
    </fill>
    <fill>
      <patternFill patternType="solid">
        <fgColor indexed="45"/>
      </patternFill>
    </fill>
    <fill>
      <patternFill patternType="solid">
        <fgColor indexed="9"/>
      </patternFill>
    </fill>
    <fill>
      <patternFill patternType="solid">
        <fgColor indexed="42"/>
      </patternFill>
    </fill>
    <fill>
      <patternFill patternType="solid">
        <fgColor indexed="26"/>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7"/>
      </patternFill>
    </fill>
    <fill>
      <patternFill patternType="solid">
        <fgColor indexed="52"/>
      </patternFill>
    </fill>
    <fill>
      <patternFill patternType="solid">
        <fgColor indexed="62"/>
      </patternFill>
    </fill>
    <fill>
      <patternFill patternType="solid">
        <fgColor indexed="53"/>
      </patternFill>
    </fill>
    <fill>
      <patternFill patternType="solid">
        <fgColor indexed="10"/>
      </patternFill>
    </fill>
    <fill>
      <patternFill patternType="solid">
        <fgColor indexed="55"/>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6DCE4"/>
        <bgColor rgb="FF000000"/>
      </patternFill>
    </fill>
    <fill>
      <patternFill patternType="solid">
        <fgColor rgb="FFDDEBF7"/>
        <bgColor rgb="FF000000"/>
      </patternFill>
    </fill>
    <fill>
      <patternFill patternType="solid">
        <fgColor theme="0" tint="-0.249977111117893"/>
        <bgColor indexed="64"/>
      </patternFill>
    </fill>
    <fill>
      <patternFill patternType="solid">
        <fgColor rgb="FF92D050"/>
        <bgColor indexed="64"/>
      </patternFill>
    </fill>
    <fill>
      <patternFill patternType="solid">
        <fgColor rgb="FF92D050"/>
        <bgColor rgb="FF000000"/>
      </patternFill>
    </fill>
    <fill>
      <patternFill patternType="solid">
        <fgColor theme="8"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rgb="FF414142"/>
      </left>
      <right style="thin">
        <color rgb="FF414142"/>
      </right>
      <top style="thin">
        <color rgb="FF414142"/>
      </top>
      <bottom style="thin">
        <color rgb="FF414142"/>
      </bottom>
      <diagonal/>
    </border>
    <border>
      <left style="thin">
        <color rgb="FF414142"/>
      </left>
      <right style="thin">
        <color rgb="FF414142"/>
      </right>
      <top style="thin">
        <color rgb="FF414142"/>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62"/>
      </bottom>
      <diagonal/>
    </border>
    <border>
      <left/>
      <right/>
      <top/>
      <bottom style="thick">
        <color indexed="44"/>
      </bottom>
      <diagonal/>
    </border>
    <border>
      <left/>
      <right/>
      <top/>
      <bottom style="thick">
        <color indexed="22"/>
      </bottom>
      <diagonal/>
    </border>
    <border>
      <left/>
      <right/>
      <top/>
      <bottom style="medium">
        <color indexed="44"/>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diagonalUp="1" diagonalDown="1">
      <left style="thin">
        <color indexed="64"/>
      </left>
      <right style="thin">
        <color indexed="64"/>
      </right>
      <top style="thin">
        <color rgb="FF000000"/>
      </top>
      <bottom style="thin">
        <color rgb="FF000000"/>
      </bottom>
      <diagonal style="thin">
        <color indexed="64"/>
      </diagonal>
    </border>
    <border>
      <left/>
      <right/>
      <top style="thin">
        <color indexed="64"/>
      </top>
      <bottom/>
      <diagonal/>
    </border>
    <border>
      <left style="thin">
        <color rgb="FF414142"/>
      </left>
      <right/>
      <top style="thin">
        <color rgb="FF414142"/>
      </top>
      <bottom style="thin">
        <color rgb="FF414142"/>
      </bottom>
      <diagonal/>
    </border>
    <border>
      <left style="thin">
        <color rgb="FF414142"/>
      </left>
      <right/>
      <top style="thin">
        <color rgb="FF414142"/>
      </top>
      <bottom/>
      <diagonal/>
    </border>
    <border>
      <left style="thin">
        <color indexed="64"/>
      </left>
      <right/>
      <top style="thin">
        <color indexed="64"/>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indexed="64"/>
      </right>
      <top/>
      <bottom style="thin">
        <color rgb="FF000000"/>
      </bottom>
      <diagonal/>
    </border>
    <border>
      <left/>
      <right/>
      <top style="thin">
        <color indexed="64"/>
      </top>
      <bottom style="thin">
        <color rgb="FF000000"/>
      </bottom>
      <diagonal/>
    </border>
    <border>
      <left style="thin">
        <color indexed="64"/>
      </left>
      <right style="thin">
        <color rgb="FF000000"/>
      </right>
      <top/>
      <bottom style="thin">
        <color rgb="FF000000"/>
      </bottom>
      <diagonal/>
    </border>
    <border>
      <left/>
      <right style="thin">
        <color rgb="FF000000"/>
      </right>
      <top/>
      <bottom style="thin">
        <color indexed="64"/>
      </bottom>
      <diagonal/>
    </border>
    <border>
      <left/>
      <right style="thin">
        <color rgb="FF000000"/>
      </right>
      <top/>
      <bottom style="thin">
        <color rgb="FF000000"/>
      </bottom>
      <diagonal/>
    </border>
    <border>
      <left style="thin">
        <color indexed="64"/>
      </left>
      <right/>
      <top/>
      <bottom style="thin">
        <color rgb="FF000000"/>
      </bottom>
      <diagonal/>
    </border>
    <border>
      <left style="thin">
        <color rgb="FF000000"/>
      </left>
      <right style="thin">
        <color rgb="FF000000"/>
      </right>
      <top/>
      <bottom/>
      <diagonal/>
    </border>
    <border>
      <left/>
      <right style="thin">
        <color indexed="64"/>
      </right>
      <top/>
      <bottom/>
      <diagonal/>
    </border>
    <border>
      <left/>
      <right style="thin">
        <color rgb="FF000000"/>
      </right>
      <top style="thin">
        <color rgb="FF000000"/>
      </top>
      <bottom style="thin">
        <color rgb="FF000000"/>
      </bottom>
      <diagonal/>
    </border>
  </borders>
  <cellStyleXfs count="1468">
    <xf numFmtId="0" fontId="0" fillId="0" borderId="0"/>
    <xf numFmtId="0" fontId="6" fillId="0" borderId="0"/>
    <xf numFmtId="0" fontId="6" fillId="0" borderId="0"/>
    <xf numFmtId="0" fontId="5" fillId="0" borderId="0"/>
    <xf numFmtId="0" fontId="4" fillId="0" borderId="0"/>
    <xf numFmtId="0" fontId="6" fillId="0" borderId="0"/>
    <xf numFmtId="0" fontId="6" fillId="0" borderId="0"/>
    <xf numFmtId="0" fontId="3" fillId="0" borderId="0"/>
    <xf numFmtId="0" fontId="2" fillId="0" borderId="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27" fillId="0" borderId="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7"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7"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3" fillId="13" borderId="12"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0" fontId="14" fillId="27" borderId="13" applyNumberFormat="0" applyAlignment="0" applyProtection="0"/>
    <xf numFmtId="41" fontId="6" fillId="0" borderId="0" applyFont="0" applyFill="0" applyBorder="0" applyAlignment="0" applyProtection="0"/>
    <xf numFmtId="165" fontId="10"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17" fillId="0" borderId="14"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18" fillId="0" borderId="16"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29" fillId="0" borderId="17"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19" fillId="0" borderId="18"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19"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0" fillId="13" borderId="12" applyNumberFormat="0" applyAlignment="0" applyProtection="0"/>
    <xf numFmtId="0" fontId="20" fillId="13" borderId="12" applyNumberFormat="0" applyAlignment="0" applyProtection="0"/>
    <xf numFmtId="0" fontId="20" fillId="13" borderId="12" applyNumberFormat="0" applyAlignment="0" applyProtection="0"/>
    <xf numFmtId="0" fontId="20" fillId="13" borderId="12" applyNumberFormat="0" applyAlignment="0" applyProtection="0"/>
    <xf numFmtId="0" fontId="20" fillId="13" borderId="12" applyNumberFormat="0" applyAlignment="0" applyProtection="0"/>
    <xf numFmtId="0" fontId="20" fillId="13" borderId="12" applyNumberFormat="0" applyAlignment="0" applyProtection="0"/>
    <xf numFmtId="0" fontId="20" fillId="7" borderId="12" applyNumberFormat="0" applyAlignment="0" applyProtection="0"/>
    <xf numFmtId="0" fontId="20" fillId="7" borderId="12" applyNumberFormat="0" applyAlignment="0" applyProtection="0"/>
    <xf numFmtId="0" fontId="20" fillId="13" borderId="12" applyNumberFormat="0" applyAlignment="0" applyProtection="0"/>
    <xf numFmtId="0" fontId="20" fillId="13" borderId="12" applyNumberFormat="0" applyAlignment="0" applyProtection="0"/>
    <xf numFmtId="0" fontId="20" fillId="13" borderId="12" applyNumberFormat="0" applyAlignment="0" applyProtection="0"/>
    <xf numFmtId="0" fontId="20" fillId="13" borderId="12" applyNumberFormat="0" applyAlignment="0" applyProtection="0"/>
    <xf numFmtId="0" fontId="20" fillId="13" borderId="12" applyNumberFormat="0" applyAlignment="0" applyProtection="0"/>
    <xf numFmtId="0" fontId="20" fillId="13" borderId="12" applyNumberFormat="0" applyAlignment="0" applyProtection="0"/>
    <xf numFmtId="0" fontId="20" fillId="13" borderId="12" applyNumberFormat="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1" fillId="0" borderId="20" applyNumberFormat="0" applyFill="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10"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10" fillId="0" borderId="0"/>
    <xf numFmtId="0" fontId="9" fillId="0" borderId="0"/>
    <xf numFmtId="0" fontId="1"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0" fontId="8" fillId="0" borderId="0"/>
    <xf numFmtId="0" fontId="8" fillId="0" borderId="0"/>
    <xf numFmtId="0" fontId="32" fillId="0" borderId="0"/>
    <xf numFmtId="0" fontId="32" fillId="0" borderId="0"/>
    <xf numFmtId="0" fontId="3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10" fillId="0" borderId="0"/>
    <xf numFmtId="0" fontId="10" fillId="0" borderId="0"/>
    <xf numFmtId="0" fontId="6" fillId="0" borderId="0"/>
    <xf numFmtId="0" fontId="33"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1" fillId="0" borderId="0"/>
    <xf numFmtId="0" fontId="1"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3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35" fillId="0" borderId="0" applyFont="0" applyFill="0" applyAlignment="0" applyProtection="0"/>
    <xf numFmtId="0" fontId="35" fillId="0" borderId="0" applyFont="0" applyFill="0" applyAlignment="0" applyProtection="0"/>
    <xf numFmtId="0" fontId="6" fillId="11" borderId="21" applyNumberFormat="0" applyFont="0" applyAlignment="0" applyProtection="0"/>
    <xf numFmtId="0" fontId="6" fillId="11" borderId="21" applyNumberFormat="0" applyFont="0" applyAlignment="0" applyProtection="0"/>
    <xf numFmtId="0" fontId="6" fillId="11" borderId="21" applyNumberFormat="0" applyFont="0" applyAlignment="0" applyProtection="0"/>
    <xf numFmtId="0" fontId="6" fillId="11" borderId="21" applyNumberFormat="0" applyFont="0" applyAlignment="0" applyProtection="0"/>
    <xf numFmtId="0" fontId="6" fillId="11" borderId="21" applyNumberFormat="0" applyFont="0" applyAlignment="0" applyProtection="0"/>
    <xf numFmtId="0" fontId="6" fillId="11" borderId="21" applyNumberFormat="0" applyFont="0" applyAlignment="0" applyProtection="0"/>
    <xf numFmtId="0" fontId="6" fillId="11" borderId="21" applyNumberFormat="0" applyFont="0" applyAlignment="0" applyProtection="0"/>
    <xf numFmtId="0" fontId="33" fillId="11" borderId="21" applyNumberFormat="0" applyFont="0" applyAlignment="0" applyProtection="0"/>
    <xf numFmtId="0" fontId="36" fillId="11" borderId="21" applyNumberFormat="0" applyFont="0" applyAlignment="0" applyProtection="0"/>
    <xf numFmtId="0" fontId="6" fillId="11" borderId="21" applyNumberFormat="0" applyFont="0" applyAlignment="0" applyProtection="0"/>
    <xf numFmtId="0" fontId="6" fillId="11" borderId="21" applyNumberFormat="0" applyFont="0" applyAlignment="0" applyProtection="0"/>
    <xf numFmtId="0" fontId="6" fillId="11" borderId="21" applyNumberFormat="0" applyFont="0" applyAlignment="0" applyProtection="0"/>
    <xf numFmtId="0" fontId="6" fillId="11" borderId="21" applyNumberFormat="0" applyFont="0" applyAlignment="0" applyProtection="0"/>
    <xf numFmtId="0" fontId="6" fillId="11" borderId="21" applyNumberFormat="0" applyFont="0" applyAlignment="0" applyProtection="0"/>
    <xf numFmtId="0" fontId="6" fillId="11" borderId="21" applyNumberFormat="0" applyFon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0" fontId="23" fillId="13" borderId="22"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3"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5" fillId="0" borderId="24"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7" fillId="0" borderId="0"/>
    <xf numFmtId="0" fontId="6" fillId="0" borderId="0"/>
  </cellStyleXfs>
  <cellXfs count="985">
    <xf numFmtId="0" fontId="0" fillId="0" borderId="0" xfId="0"/>
    <xf numFmtId="3" fontId="40" fillId="0" borderId="0" xfId="0" applyNumberFormat="1" applyFont="1" applyAlignment="1">
      <alignment vertical="center"/>
    </xf>
    <xf numFmtId="3" fontId="41" fillId="0" borderId="0" xfId="0" applyNumberFormat="1" applyFont="1" applyAlignment="1">
      <alignment vertical="center"/>
    </xf>
    <xf numFmtId="3" fontId="43" fillId="0" borderId="0" xfId="0" applyNumberFormat="1" applyFont="1" applyAlignment="1">
      <alignment vertical="center"/>
    </xf>
    <xf numFmtId="3" fontId="40" fillId="0" borderId="0" xfId="0" applyNumberFormat="1" applyFont="1" applyAlignment="1">
      <alignment horizontal="center" vertical="center"/>
    </xf>
    <xf numFmtId="0" fontId="39" fillId="0" borderId="0" xfId="0" applyFont="1" applyAlignment="1">
      <alignment vertical="center"/>
    </xf>
    <xf numFmtId="0" fontId="39" fillId="0" borderId="0" xfId="1467" applyFont="1" applyAlignment="1">
      <alignment vertical="center"/>
    </xf>
    <xf numFmtId="0" fontId="45" fillId="0" borderId="0" xfId="1467" applyFont="1" applyAlignment="1" applyProtection="1">
      <alignment vertical="center"/>
      <protection locked="0"/>
    </xf>
    <xf numFmtId="0" fontId="45" fillId="0" borderId="0" xfId="1467" applyFont="1" applyAlignment="1">
      <alignment vertical="center"/>
    </xf>
    <xf numFmtId="0" fontId="45" fillId="0" borderId="0" xfId="1467" applyFont="1" applyAlignment="1">
      <alignment horizontal="center" vertical="center"/>
    </xf>
    <xf numFmtId="0" fontId="40" fillId="0" borderId="0" xfId="0" applyFont="1" applyAlignment="1">
      <alignment vertical="center"/>
    </xf>
    <xf numFmtId="0" fontId="40" fillId="0" borderId="0" xfId="0" applyFont="1" applyAlignment="1">
      <alignment horizontal="right" vertical="center"/>
    </xf>
    <xf numFmtId="0" fontId="40" fillId="0" borderId="0" xfId="0" applyFont="1" applyAlignment="1">
      <alignment vertical="center" wrapText="1"/>
    </xf>
    <xf numFmtId="0" fontId="42" fillId="0" borderId="0" xfId="0" applyFont="1" applyAlignment="1">
      <alignment horizontal="center" vertical="center"/>
    </xf>
    <xf numFmtId="0" fontId="46" fillId="0" borderId="1" xfId="1" applyFont="1" applyBorder="1" applyAlignment="1">
      <alignment horizontal="center" vertical="center"/>
    </xf>
    <xf numFmtId="3" fontId="47" fillId="0" borderId="1" xfId="6" applyNumberFormat="1" applyFont="1" applyBorder="1" applyAlignment="1">
      <alignment vertical="center" wrapText="1"/>
    </xf>
    <xf numFmtId="3" fontId="47" fillId="2" borderId="1" xfId="6" applyNumberFormat="1" applyFont="1" applyFill="1" applyBorder="1" applyAlignment="1">
      <alignment vertical="center" wrapText="1"/>
    </xf>
    <xf numFmtId="49" fontId="47" fillId="0" borderId="1" xfId="1" applyNumberFormat="1" applyFont="1" applyBorder="1" applyAlignment="1">
      <alignment horizontal="center" vertical="center"/>
    </xf>
    <xf numFmtId="3" fontId="47" fillId="0" borderId="1" xfId="0" applyNumberFormat="1" applyFont="1" applyBorder="1" applyAlignment="1" applyProtection="1">
      <alignment horizontal="right" vertical="center"/>
      <protection locked="0"/>
    </xf>
    <xf numFmtId="0" fontId="44" fillId="0" borderId="0" xfId="1467" applyFont="1" applyAlignment="1">
      <alignment horizontal="center" vertical="center"/>
    </xf>
    <xf numFmtId="0" fontId="44" fillId="0" borderId="0" xfId="1467" applyFont="1" applyAlignment="1">
      <alignment vertical="center" wrapText="1"/>
    </xf>
    <xf numFmtId="3" fontId="44" fillId="0" borderId="0" xfId="1467" applyNumberFormat="1" applyFont="1" applyAlignment="1">
      <alignment horizontal="center" vertical="center"/>
    </xf>
    <xf numFmtId="49" fontId="44" fillId="0" borderId="0" xfId="1467" applyNumberFormat="1" applyFont="1" applyAlignment="1">
      <alignment horizontal="center" vertical="center"/>
    </xf>
    <xf numFmtId="0" fontId="47" fillId="0" borderId="1" xfId="1467" applyFont="1" applyBorder="1" applyAlignment="1">
      <alignment horizontal="center" vertical="center"/>
    </xf>
    <xf numFmtId="3" fontId="47" fillId="0" borderId="1" xfId="0" applyNumberFormat="1" applyFont="1" applyBorder="1" applyAlignment="1">
      <alignment horizontal="center" vertical="center" wrapText="1"/>
    </xf>
    <xf numFmtId="3" fontId="48" fillId="3" borderId="1" xfId="0" applyNumberFormat="1" applyFont="1" applyFill="1" applyBorder="1" applyAlignment="1">
      <alignment horizontal="center" vertical="center" wrapText="1"/>
    </xf>
    <xf numFmtId="166" fontId="48" fillId="3" borderId="1" xfId="12" applyNumberFormat="1" applyFont="1" applyFill="1" applyBorder="1" applyAlignment="1" applyProtection="1">
      <alignment horizontal="center" vertical="center" wrapText="1"/>
    </xf>
    <xf numFmtId="3" fontId="48" fillId="3" borderId="1" xfId="12" applyNumberFormat="1" applyFont="1" applyFill="1" applyBorder="1" applyAlignment="1" applyProtection="1">
      <alignment horizontal="center" vertical="center" wrapText="1"/>
    </xf>
    <xf numFmtId="9" fontId="48" fillId="0" borderId="1" xfId="12" applyFont="1" applyFill="1" applyBorder="1" applyAlignment="1" applyProtection="1">
      <alignment horizontal="center" vertical="center"/>
      <protection locked="0"/>
    </xf>
    <xf numFmtId="9" fontId="51" fillId="28" borderId="1" xfId="12" applyFont="1" applyFill="1" applyBorder="1" applyAlignment="1" applyProtection="1">
      <alignment horizontal="center" vertical="center"/>
    </xf>
    <xf numFmtId="3" fontId="52" fillId="0" borderId="0" xfId="0" applyNumberFormat="1" applyFont="1" applyAlignment="1">
      <alignment vertical="center"/>
    </xf>
    <xf numFmtId="3" fontId="47" fillId="2" borderId="1" xfId="6" applyNumberFormat="1" applyFont="1" applyFill="1" applyBorder="1" applyAlignment="1">
      <alignment horizontal="center" vertical="center" wrapText="1"/>
    </xf>
    <xf numFmtId="0" fontId="47" fillId="0" borderId="0" xfId="0" applyFont="1" applyAlignment="1">
      <alignment vertical="center"/>
    </xf>
    <xf numFmtId="0" fontId="47" fillId="0" borderId="1" xfId="0" applyFont="1" applyBorder="1" applyAlignment="1">
      <alignment horizontal="center" vertical="center"/>
    </xf>
    <xf numFmtId="0" fontId="46" fillId="28" borderId="1" xfId="1" applyFont="1" applyFill="1" applyBorder="1" applyAlignment="1">
      <alignment horizontal="left" vertical="center"/>
    </xf>
    <xf numFmtId="3" fontId="47" fillId="2" borderId="1" xfId="6" applyNumberFormat="1" applyFont="1" applyFill="1" applyBorder="1" applyAlignment="1">
      <alignment horizontal="left" vertical="center" wrapText="1"/>
    </xf>
    <xf numFmtId="0" fontId="47" fillId="0" borderId="0" xfId="0" applyFont="1" applyAlignment="1" applyProtection="1">
      <alignment vertical="center"/>
      <protection locked="0"/>
    </xf>
    <xf numFmtId="0" fontId="47" fillId="0" borderId="1" xfId="0" applyFont="1" applyBorder="1" applyAlignment="1" applyProtection="1">
      <alignment vertical="center"/>
      <protection locked="0"/>
    </xf>
    <xf numFmtId="3" fontId="47" fillId="0" borderId="1" xfId="6" applyNumberFormat="1" applyFont="1" applyBorder="1" applyAlignment="1">
      <alignment horizontal="left" vertical="center" wrapText="1"/>
    </xf>
    <xf numFmtId="9" fontId="48" fillId="2" borderId="1" xfId="12" applyFont="1" applyFill="1" applyBorder="1" applyAlignment="1" applyProtection="1">
      <alignment horizontal="center" vertical="center"/>
      <protection locked="0"/>
    </xf>
    <xf numFmtId="0" fontId="47" fillId="2" borderId="1" xfId="0" applyFont="1" applyFill="1" applyBorder="1" applyAlignment="1">
      <alignment horizontal="left" vertical="center"/>
    </xf>
    <xf numFmtId="0" fontId="46" fillId="0" borderId="0" xfId="1" applyFont="1" applyAlignment="1">
      <alignment horizontal="left" vertical="center"/>
    </xf>
    <xf numFmtId="3" fontId="46" fillId="0" borderId="0" xfId="6" applyNumberFormat="1" applyFont="1" applyAlignment="1">
      <alignment horizontal="left" vertical="center"/>
    </xf>
    <xf numFmtId="0" fontId="48" fillId="0" borderId="0" xfId="0" applyFont="1" applyAlignment="1" applyProtection="1">
      <alignment horizontal="center" vertical="center"/>
      <protection locked="0"/>
    </xf>
    <xf numFmtId="3" fontId="46" fillId="28" borderId="1" xfId="6" applyNumberFormat="1" applyFont="1" applyFill="1" applyBorder="1" applyAlignment="1">
      <alignment horizontal="left" vertical="center" wrapText="1"/>
    </xf>
    <xf numFmtId="0" fontId="46" fillId="28" borderId="1" xfId="6" applyFont="1" applyFill="1" applyBorder="1" applyAlignment="1">
      <alignment horizontal="left" vertical="center" wrapText="1"/>
    </xf>
    <xf numFmtId="3" fontId="46" fillId="28" borderId="1" xfId="6" applyNumberFormat="1" applyFont="1" applyFill="1" applyBorder="1" applyAlignment="1">
      <alignment horizontal="left" vertical="center"/>
    </xf>
    <xf numFmtId="0" fontId="47" fillId="0" borderId="0" xfId="1467" applyFont="1" applyAlignment="1">
      <alignment horizontal="left" vertical="top" wrapText="1"/>
    </xf>
    <xf numFmtId="0" fontId="48" fillId="0" borderId="0" xfId="0" applyFont="1" applyAlignment="1">
      <alignment horizontal="center" vertical="center"/>
    </xf>
    <xf numFmtId="0" fontId="47" fillId="2" borderId="1" xfId="6" applyFont="1" applyFill="1" applyBorder="1" applyAlignment="1">
      <alignment horizontal="center" vertical="center"/>
    </xf>
    <xf numFmtId="0" fontId="47" fillId="2" borderId="1" xfId="6" applyFont="1" applyFill="1" applyBorder="1" applyAlignment="1">
      <alignment vertical="center" wrapText="1"/>
    </xf>
    <xf numFmtId="3" fontId="47" fillId="2" borderId="1" xfId="6" applyNumberFormat="1" applyFont="1" applyFill="1" applyBorder="1" applyAlignment="1">
      <alignment horizontal="right" vertical="center" wrapText="1"/>
    </xf>
    <xf numFmtId="3" fontId="48" fillId="2" borderId="1" xfId="6" applyNumberFormat="1" applyFont="1" applyFill="1" applyBorder="1" applyAlignment="1">
      <alignment horizontal="center" vertical="center" wrapText="1"/>
    </xf>
    <xf numFmtId="9" fontId="48" fillId="2" borderId="1" xfId="12" applyFont="1" applyFill="1" applyBorder="1" applyAlignment="1" applyProtection="1">
      <alignment horizontal="center" vertical="center" wrapText="1"/>
    </xf>
    <xf numFmtId="49" fontId="47" fillId="2" borderId="25" xfId="6" applyNumberFormat="1" applyFont="1" applyFill="1" applyBorder="1" applyAlignment="1">
      <alignment horizontal="left" vertical="center" wrapText="1"/>
    </xf>
    <xf numFmtId="0" fontId="47" fillId="2" borderId="1" xfId="6" applyFont="1" applyFill="1" applyBorder="1" applyAlignment="1">
      <alignment horizontal="left" vertical="center" wrapText="1" indent="3"/>
    </xf>
    <xf numFmtId="49" fontId="47" fillId="2" borderId="4" xfId="6" applyNumberFormat="1" applyFont="1" applyFill="1" applyBorder="1" applyAlignment="1">
      <alignment horizontal="center" vertical="center" wrapText="1"/>
    </xf>
    <xf numFmtId="3" fontId="47" fillId="2" borderId="1" xfId="0" applyNumberFormat="1" applyFont="1" applyFill="1" applyBorder="1" applyAlignment="1">
      <alignment horizontal="left" vertical="center" wrapText="1" indent="3"/>
    </xf>
    <xf numFmtId="3" fontId="47" fillId="2" borderId="1" xfId="0" applyNumberFormat="1" applyFont="1" applyFill="1" applyBorder="1" applyAlignment="1">
      <alignment horizontal="left" vertical="center" wrapText="1"/>
    </xf>
    <xf numFmtId="3" fontId="47" fillId="2" borderId="1" xfId="6" applyNumberFormat="1" applyFont="1" applyFill="1" applyBorder="1" applyAlignment="1">
      <alignment horizontal="right" vertical="center"/>
    </xf>
    <xf numFmtId="3" fontId="48" fillId="2" borderId="1" xfId="6" applyNumberFormat="1" applyFont="1" applyFill="1" applyBorder="1" applyAlignment="1">
      <alignment horizontal="center" vertical="center"/>
    </xf>
    <xf numFmtId="9" fontId="48" fillId="2" borderId="1" xfId="12" applyFont="1" applyFill="1" applyBorder="1" applyAlignment="1" applyProtection="1">
      <alignment horizontal="center" vertical="center"/>
    </xf>
    <xf numFmtId="49" fontId="47" fillId="2" borderId="4" xfId="6" applyNumberFormat="1" applyFont="1" applyFill="1" applyBorder="1" applyAlignment="1">
      <alignment horizontal="center" vertical="center"/>
    </xf>
    <xf numFmtId="0" fontId="47" fillId="2" borderId="1" xfId="6" applyFont="1" applyFill="1" applyBorder="1" applyAlignment="1">
      <alignment horizontal="left" vertical="center" wrapText="1"/>
    </xf>
    <xf numFmtId="3" fontId="47" fillId="2" borderId="1" xfId="6" applyNumberFormat="1" applyFont="1" applyFill="1" applyBorder="1" applyAlignment="1" applyProtection="1">
      <alignment horizontal="right" vertical="center"/>
      <protection locked="0"/>
    </xf>
    <xf numFmtId="3" fontId="48" fillId="2" borderId="1" xfId="6" applyNumberFormat="1" applyFont="1" applyFill="1" applyBorder="1" applyAlignment="1" applyProtection="1">
      <alignment horizontal="center" vertical="center"/>
      <protection locked="0"/>
    </xf>
    <xf numFmtId="3" fontId="47" fillId="2" borderId="1" xfId="1" applyNumberFormat="1" applyFont="1" applyFill="1" applyBorder="1" applyAlignment="1">
      <alignment horizontal="left" vertical="center" wrapText="1"/>
    </xf>
    <xf numFmtId="0" fontId="47" fillId="0" borderId="1" xfId="0" applyFont="1" applyBorder="1" applyAlignment="1">
      <alignment vertical="center" wrapText="1"/>
    </xf>
    <xf numFmtId="3" fontId="48" fillId="0" borderId="1" xfId="0" applyNumberFormat="1" applyFont="1" applyBorder="1" applyAlignment="1" applyProtection="1">
      <alignment horizontal="center" vertical="center"/>
      <protection locked="0"/>
    </xf>
    <xf numFmtId="49" fontId="47" fillId="0" borderId="1" xfId="0" applyNumberFormat="1" applyFont="1" applyBorder="1" applyAlignment="1" applyProtection="1">
      <alignment horizontal="left" vertical="center"/>
      <protection locked="0"/>
    </xf>
    <xf numFmtId="49" fontId="46" fillId="0" borderId="1" xfId="0" applyNumberFormat="1" applyFont="1" applyBorder="1" applyAlignment="1" applyProtection="1">
      <alignment horizontal="left" vertical="center"/>
      <protection locked="0"/>
    </xf>
    <xf numFmtId="3" fontId="47" fillId="0" borderId="1" xfId="0" applyNumberFormat="1" applyFont="1" applyBorder="1" applyAlignment="1">
      <alignment horizontal="right" vertical="center"/>
    </xf>
    <xf numFmtId="9" fontId="48" fillId="0" borderId="1" xfId="12" applyFont="1" applyFill="1" applyBorder="1" applyAlignment="1" applyProtection="1">
      <alignment horizontal="center" vertical="center"/>
    </xf>
    <xf numFmtId="0" fontId="47" fillId="2" borderId="1" xfId="0" applyFont="1" applyFill="1" applyBorder="1" applyAlignment="1">
      <alignment horizontal="center" vertical="center"/>
    </xf>
    <xf numFmtId="0" fontId="47" fillId="2" borderId="1" xfId="0" applyFont="1" applyFill="1" applyBorder="1" applyAlignment="1">
      <alignment horizontal="left" vertical="center" wrapText="1" indent="3"/>
    </xf>
    <xf numFmtId="3" fontId="47" fillId="2" borderId="1" xfId="0" applyNumberFormat="1" applyFont="1" applyFill="1" applyBorder="1" applyAlignment="1">
      <alignment horizontal="right" vertical="center"/>
    </xf>
    <xf numFmtId="3" fontId="48" fillId="2" borderId="1" xfId="0" applyNumberFormat="1" applyFont="1" applyFill="1" applyBorder="1" applyAlignment="1">
      <alignment horizontal="center" vertical="center"/>
    </xf>
    <xf numFmtId="49" fontId="46" fillId="0" borderId="4" xfId="0" applyNumberFormat="1" applyFont="1" applyBorder="1" applyAlignment="1">
      <alignment horizontal="center" vertical="center"/>
    </xf>
    <xf numFmtId="49" fontId="46" fillId="0" borderId="1" xfId="0" applyNumberFormat="1" applyFont="1" applyBorder="1" applyAlignment="1">
      <alignment vertical="center"/>
    </xf>
    <xf numFmtId="0" fontId="47" fillId="0" borderId="1" xfId="6" applyFont="1" applyBorder="1" applyAlignment="1">
      <alignment horizontal="center" vertical="center"/>
    </xf>
    <xf numFmtId="16" fontId="47" fillId="0" borderId="1" xfId="6" applyNumberFormat="1" applyFont="1" applyBorder="1" applyAlignment="1">
      <alignment vertical="center" wrapText="1"/>
    </xf>
    <xf numFmtId="3" fontId="47" fillId="0" borderId="1" xfId="6" applyNumberFormat="1" applyFont="1" applyBorder="1" applyAlignment="1" applyProtection="1">
      <alignment horizontal="right" vertical="center"/>
      <protection locked="0"/>
    </xf>
    <xf numFmtId="3" fontId="48" fillId="0" borderId="1" xfId="6" applyNumberFormat="1" applyFont="1" applyBorder="1" applyAlignment="1" applyProtection="1">
      <alignment horizontal="center" vertical="center"/>
      <protection locked="0"/>
    </xf>
    <xf numFmtId="49" fontId="46" fillId="0" borderId="1" xfId="6" applyNumberFormat="1" applyFont="1" applyBorder="1" applyAlignment="1" applyProtection="1">
      <alignment horizontal="left" vertical="center"/>
      <protection locked="0"/>
    </xf>
    <xf numFmtId="0" fontId="47" fillId="0" borderId="1" xfId="6" applyFont="1" applyBorder="1" applyAlignment="1">
      <alignment horizontal="center" vertical="center" wrapText="1"/>
    </xf>
    <xf numFmtId="49" fontId="47" fillId="0" borderId="1" xfId="6" applyNumberFormat="1" applyFont="1" applyBorder="1" applyAlignment="1" applyProtection="1">
      <alignment horizontal="left" vertical="center"/>
      <protection locked="0"/>
    </xf>
    <xf numFmtId="0" fontId="46" fillId="0" borderId="1" xfId="6" applyFont="1" applyBorder="1" applyAlignment="1">
      <alignment horizontal="center" vertical="center"/>
    </xf>
    <xf numFmtId="49" fontId="46" fillId="0" borderId="1" xfId="6" applyNumberFormat="1" applyFont="1" applyBorder="1" applyAlignment="1">
      <alignment horizontal="left" vertical="center" wrapText="1"/>
    </xf>
    <xf numFmtId="3" fontId="46" fillId="0" borderId="1" xfId="6" applyNumberFormat="1" applyFont="1" applyBorder="1" applyAlignment="1" applyProtection="1">
      <alignment horizontal="right" vertical="center"/>
      <protection locked="0"/>
    </xf>
    <xf numFmtId="3" fontId="46" fillId="0" borderId="1" xfId="6" applyNumberFormat="1" applyFont="1" applyBorder="1" applyAlignment="1" applyProtection="1">
      <alignment horizontal="right" vertical="center" wrapText="1"/>
      <protection locked="0"/>
    </xf>
    <xf numFmtId="3" fontId="51" fillId="0" borderId="1" xfId="6" applyNumberFormat="1" applyFont="1" applyBorder="1" applyAlignment="1" applyProtection="1">
      <alignment horizontal="center" vertical="center"/>
      <protection locked="0"/>
    </xf>
    <xf numFmtId="9" fontId="51" fillId="0" borderId="1" xfId="12" applyFont="1" applyFill="1" applyBorder="1" applyAlignment="1" applyProtection="1">
      <alignment horizontal="center" vertical="center"/>
      <protection locked="0"/>
    </xf>
    <xf numFmtId="0" fontId="46" fillId="28" borderId="1" xfId="6" applyFont="1" applyFill="1" applyBorder="1" applyAlignment="1">
      <alignment horizontal="center" vertical="center"/>
    </xf>
    <xf numFmtId="3" fontId="46" fillId="28" borderId="1" xfId="6" applyNumberFormat="1" applyFont="1" applyFill="1" applyBorder="1" applyAlignment="1">
      <alignment horizontal="right" vertical="center" wrapText="1"/>
    </xf>
    <xf numFmtId="3" fontId="46" fillId="28" borderId="1" xfId="6" applyNumberFormat="1" applyFont="1" applyFill="1" applyBorder="1" applyAlignment="1">
      <alignment horizontal="right" vertical="center"/>
    </xf>
    <xf numFmtId="3" fontId="51" fillId="28" borderId="1" xfId="6" applyNumberFormat="1" applyFont="1" applyFill="1" applyBorder="1" applyAlignment="1">
      <alignment horizontal="center" vertical="center"/>
    </xf>
    <xf numFmtId="3" fontId="51" fillId="28" borderId="1" xfId="6" applyNumberFormat="1" applyFont="1" applyFill="1" applyBorder="1" applyAlignment="1">
      <alignment horizontal="center" vertical="center" wrapText="1"/>
    </xf>
    <xf numFmtId="9" fontId="51" fillId="28" borderId="1" xfId="12" applyFont="1" applyFill="1" applyBorder="1" applyAlignment="1" applyProtection="1">
      <alignment horizontal="center" vertical="center" wrapText="1"/>
    </xf>
    <xf numFmtId="0" fontId="46" fillId="28" borderId="1" xfId="6" applyFont="1" applyFill="1" applyBorder="1" applyAlignment="1">
      <alignment vertical="center" wrapText="1"/>
    </xf>
    <xf numFmtId="0" fontId="46" fillId="28" borderId="1" xfId="0" applyFont="1" applyFill="1" applyBorder="1" applyAlignment="1">
      <alignment horizontal="center" vertical="center"/>
    </xf>
    <xf numFmtId="0" fontId="46" fillId="28" borderId="1" xfId="0" applyFont="1" applyFill="1" applyBorder="1" applyAlignment="1">
      <alignment vertical="center" wrapText="1"/>
    </xf>
    <xf numFmtId="3" fontId="46" fillId="28" borderId="1" xfId="0" applyNumberFormat="1" applyFont="1" applyFill="1" applyBorder="1" applyAlignment="1">
      <alignment horizontal="right" vertical="center"/>
    </xf>
    <xf numFmtId="3" fontId="51" fillId="28" borderId="1" xfId="0" applyNumberFormat="1" applyFont="1" applyFill="1" applyBorder="1" applyAlignment="1">
      <alignment horizontal="center" vertical="center"/>
    </xf>
    <xf numFmtId="3" fontId="46" fillId="28" borderId="1" xfId="6" applyNumberFormat="1" applyFont="1" applyFill="1" applyBorder="1" applyAlignment="1">
      <alignment vertical="center" wrapText="1"/>
    </xf>
    <xf numFmtId="0" fontId="46" fillId="28" borderId="4" xfId="6" applyFont="1" applyFill="1" applyBorder="1" applyAlignment="1">
      <alignment horizontal="center" vertical="center"/>
    </xf>
    <xf numFmtId="0" fontId="46" fillId="28" borderId="4" xfId="6" applyFont="1" applyFill="1" applyBorder="1" applyAlignment="1">
      <alignment vertical="center" wrapText="1"/>
    </xf>
    <xf numFmtId="3" fontId="46" fillId="28" borderId="4" xfId="6" applyNumberFormat="1" applyFont="1" applyFill="1" applyBorder="1" applyAlignment="1">
      <alignment horizontal="right" vertical="center" wrapText="1"/>
    </xf>
    <xf numFmtId="0" fontId="46" fillId="28" borderId="6" xfId="6" applyFont="1" applyFill="1" applyBorder="1" applyAlignment="1">
      <alignment horizontal="center" vertical="center"/>
    </xf>
    <xf numFmtId="16" fontId="46" fillId="28" borderId="6" xfId="6" applyNumberFormat="1" applyFont="1" applyFill="1" applyBorder="1" applyAlignment="1">
      <alignment vertical="center" wrapText="1"/>
    </xf>
    <xf numFmtId="3" fontId="46" fillId="28" borderId="6" xfId="6" applyNumberFormat="1" applyFont="1" applyFill="1" applyBorder="1" applyAlignment="1">
      <alignment horizontal="right" vertical="center" wrapText="1"/>
    </xf>
    <xf numFmtId="0" fontId="46" fillId="28" borderId="1" xfId="6" applyFont="1" applyFill="1" applyBorder="1" applyAlignment="1">
      <alignment horizontal="center" vertical="center" wrapText="1"/>
    </xf>
    <xf numFmtId="49" fontId="46" fillId="28" borderId="1" xfId="6" applyNumberFormat="1" applyFont="1" applyFill="1" applyBorder="1" applyAlignment="1">
      <alignment horizontal="left" vertical="center" wrapText="1"/>
    </xf>
    <xf numFmtId="49" fontId="46" fillId="0" borderId="1" xfId="6" applyNumberFormat="1" applyFont="1" applyBorder="1" applyAlignment="1">
      <alignment horizontal="center" vertical="center" wrapText="1"/>
    </xf>
    <xf numFmtId="3" fontId="47" fillId="2" borderId="1" xfId="0" applyNumberFormat="1" applyFont="1" applyFill="1" applyBorder="1" applyAlignment="1" applyProtection="1">
      <alignment horizontal="right" vertical="center" wrapText="1"/>
      <protection locked="0"/>
    </xf>
    <xf numFmtId="3" fontId="48" fillId="2" borderId="1" xfId="0" applyNumberFormat="1" applyFont="1" applyFill="1" applyBorder="1" applyAlignment="1">
      <alignment horizontal="center" vertical="center" wrapText="1"/>
    </xf>
    <xf numFmtId="166" fontId="48" fillId="2" borderId="1" xfId="12" applyNumberFormat="1" applyFont="1" applyFill="1" applyBorder="1" applyAlignment="1" applyProtection="1">
      <alignment horizontal="center" vertical="center" wrapText="1"/>
    </xf>
    <xf numFmtId="3" fontId="47" fillId="0" borderId="1" xfId="0" applyNumberFormat="1" applyFont="1" applyBorder="1" applyAlignment="1">
      <alignment horizontal="left" vertical="center" wrapText="1"/>
    </xf>
    <xf numFmtId="3" fontId="47" fillId="0" borderId="1" xfId="0" applyNumberFormat="1" applyFont="1" applyBorder="1" applyAlignment="1" applyProtection="1">
      <alignment horizontal="right" vertical="center" wrapText="1"/>
      <protection locked="0"/>
    </xf>
    <xf numFmtId="49" fontId="46" fillId="2" borderId="1" xfId="0" applyNumberFormat="1" applyFont="1" applyFill="1" applyBorder="1" applyAlignment="1">
      <alignment horizontal="center" vertical="center"/>
    </xf>
    <xf numFmtId="3" fontId="46" fillId="2" borderId="1" xfId="0" applyNumberFormat="1" applyFont="1" applyFill="1" applyBorder="1" applyAlignment="1">
      <alignment horizontal="left" vertical="center" wrapText="1"/>
    </xf>
    <xf numFmtId="3" fontId="46" fillId="2" borderId="1" xfId="0" applyNumberFormat="1" applyFont="1" applyFill="1" applyBorder="1" applyAlignment="1" applyProtection="1">
      <alignment horizontal="right" vertical="center" wrapText="1"/>
      <protection locked="0"/>
    </xf>
    <xf numFmtId="3" fontId="51" fillId="2" borderId="1" xfId="0" applyNumberFormat="1" applyFont="1" applyFill="1" applyBorder="1" applyAlignment="1">
      <alignment horizontal="center" vertical="center" wrapText="1"/>
    </xf>
    <xf numFmtId="166" fontId="51" fillId="2" borderId="1" xfId="12" applyNumberFormat="1" applyFont="1" applyFill="1" applyBorder="1" applyAlignment="1" applyProtection="1">
      <alignment horizontal="center" vertical="center" wrapText="1"/>
    </xf>
    <xf numFmtId="3" fontId="51" fillId="0" borderId="1" xfId="0" applyNumberFormat="1" applyFont="1" applyBorder="1" applyAlignment="1" applyProtection="1">
      <alignment horizontal="left" vertical="center" wrapText="1"/>
      <protection locked="0"/>
    </xf>
    <xf numFmtId="3" fontId="46" fillId="2" borderId="1" xfId="1" applyNumberFormat="1" applyFont="1" applyFill="1" applyBorder="1" applyAlignment="1">
      <alignment horizontal="left" vertical="center" wrapText="1"/>
    </xf>
    <xf numFmtId="49" fontId="46" fillId="0" borderId="1" xfId="0" applyNumberFormat="1" applyFont="1" applyBorder="1" applyAlignment="1">
      <alignment horizontal="center" vertical="center"/>
    </xf>
    <xf numFmtId="3" fontId="46" fillId="0" borderId="1" xfId="1" applyNumberFormat="1" applyFont="1" applyBorder="1" applyAlignment="1">
      <alignment horizontal="left" vertical="center" wrapText="1"/>
    </xf>
    <xf numFmtId="3" fontId="46" fillId="0" borderId="1" xfId="0" applyNumberFormat="1" applyFont="1" applyBorder="1" applyAlignment="1" applyProtection="1">
      <alignment horizontal="right" vertical="center" wrapText="1"/>
      <protection locked="0"/>
    </xf>
    <xf numFmtId="3" fontId="51" fillId="0" borderId="1" xfId="0" applyNumberFormat="1" applyFont="1" applyBorder="1" applyAlignment="1">
      <alignment horizontal="center" vertical="center" wrapText="1"/>
    </xf>
    <xf numFmtId="166" fontId="51" fillId="0" borderId="1" xfId="12" applyNumberFormat="1" applyFont="1" applyFill="1" applyBorder="1" applyAlignment="1" applyProtection="1">
      <alignment horizontal="center" vertical="center" wrapText="1"/>
    </xf>
    <xf numFmtId="0" fontId="46" fillId="2" borderId="1" xfId="0" applyFont="1" applyFill="1" applyBorder="1" applyAlignment="1">
      <alignment horizontal="center" vertical="center"/>
    </xf>
    <xf numFmtId="0" fontId="46" fillId="2" borderId="1" xfId="0" applyFont="1" applyFill="1" applyBorder="1" applyAlignment="1">
      <alignment vertical="center" wrapText="1"/>
    </xf>
    <xf numFmtId="0" fontId="47" fillId="2" borderId="1" xfId="0" applyFont="1" applyFill="1" applyBorder="1" applyAlignment="1">
      <alignment vertical="center" wrapText="1"/>
    </xf>
    <xf numFmtId="0" fontId="47" fillId="2" borderId="1" xfId="0" applyFont="1" applyFill="1" applyBorder="1" applyAlignment="1">
      <alignment horizontal="left" vertical="center" wrapText="1"/>
    </xf>
    <xf numFmtId="3" fontId="48" fillId="0" borderId="1" xfId="0" applyNumberFormat="1" applyFont="1" applyBorder="1" applyAlignment="1">
      <alignment horizontal="center" vertical="center" wrapText="1"/>
    </xf>
    <xf numFmtId="166" fontId="48" fillId="0" borderId="1" xfId="12" applyNumberFormat="1" applyFont="1" applyFill="1" applyBorder="1" applyAlignment="1" applyProtection="1">
      <alignment horizontal="center" vertical="center" wrapText="1"/>
    </xf>
    <xf numFmtId="0" fontId="46" fillId="2" borderId="1" xfId="0" applyFont="1" applyFill="1" applyBorder="1" applyAlignment="1">
      <alignment horizontal="left" vertical="center" wrapText="1"/>
    </xf>
    <xf numFmtId="0" fontId="46" fillId="2" borderId="1" xfId="0" applyFont="1" applyFill="1" applyBorder="1" applyAlignment="1" applyProtection="1">
      <alignment horizontal="right" vertical="center" wrapText="1"/>
      <protection locked="0"/>
    </xf>
    <xf numFmtId="3" fontId="48" fillId="0" borderId="1" xfId="0" applyNumberFormat="1" applyFont="1" applyBorder="1" applyAlignment="1" applyProtection="1">
      <alignment horizontal="left" vertical="center" wrapText="1"/>
      <protection locked="0"/>
    </xf>
    <xf numFmtId="0" fontId="46" fillId="2" borderId="1" xfId="0" applyFont="1" applyFill="1" applyBorder="1" applyAlignment="1">
      <alignment horizontal="left" vertical="center"/>
    </xf>
    <xf numFmtId="0" fontId="47" fillId="0" borderId="1" xfId="0" applyFont="1" applyBorder="1" applyAlignment="1">
      <alignment horizontal="left" vertical="center" wrapText="1"/>
    </xf>
    <xf numFmtId="3" fontId="51" fillId="0" borderId="1" xfId="0" applyNumberFormat="1" applyFont="1" applyBorder="1" applyAlignment="1">
      <alignment vertical="center" wrapText="1"/>
    </xf>
    <xf numFmtId="49" fontId="47" fillId="2" borderId="1" xfId="1" applyNumberFormat="1" applyFont="1" applyFill="1" applyBorder="1" applyAlignment="1">
      <alignment horizontal="center" vertical="center"/>
    </xf>
    <xf numFmtId="3" fontId="47" fillId="0" borderId="1" xfId="0" applyNumberFormat="1" applyFont="1" applyBorder="1" applyAlignment="1">
      <alignment vertical="center"/>
    </xf>
    <xf numFmtId="3" fontId="47" fillId="0" borderId="1" xfId="0" applyNumberFormat="1" applyFont="1" applyBorder="1" applyAlignment="1">
      <alignment vertical="center" wrapText="1"/>
    </xf>
    <xf numFmtId="3" fontId="46" fillId="28" borderId="1" xfId="0" applyNumberFormat="1" applyFont="1" applyFill="1" applyBorder="1" applyAlignment="1">
      <alignment horizontal="right" vertical="center" wrapText="1"/>
    </xf>
    <xf numFmtId="3" fontId="51" fillId="28" borderId="1" xfId="0" applyNumberFormat="1" applyFont="1" applyFill="1" applyBorder="1" applyAlignment="1">
      <alignment horizontal="center" vertical="center" wrapText="1"/>
    </xf>
    <xf numFmtId="166" fontId="51" fillId="28" borderId="1" xfId="12" applyNumberFormat="1" applyFont="1" applyFill="1" applyBorder="1" applyAlignment="1" applyProtection="1">
      <alignment horizontal="center" vertical="center" wrapText="1"/>
    </xf>
    <xf numFmtId="49" fontId="46" fillId="28" borderId="1" xfId="0" applyNumberFormat="1" applyFont="1" applyFill="1" applyBorder="1" applyAlignment="1">
      <alignment horizontal="center" vertical="center"/>
    </xf>
    <xf numFmtId="3" fontId="46" fillId="28" borderId="1" xfId="0" applyNumberFormat="1" applyFont="1" applyFill="1" applyBorder="1" applyAlignment="1">
      <alignment horizontal="left" vertical="center" wrapText="1"/>
    </xf>
    <xf numFmtId="0" fontId="46" fillId="28" borderId="1" xfId="0" applyFont="1" applyFill="1" applyBorder="1" applyAlignment="1">
      <alignment horizontal="left" vertical="center" wrapText="1"/>
    </xf>
    <xf numFmtId="0" fontId="47" fillId="28" borderId="1" xfId="0" applyFont="1" applyFill="1" applyBorder="1" applyAlignment="1">
      <alignment horizontal="center" vertical="center"/>
    </xf>
    <xf numFmtId="3" fontId="51" fillId="0" borderId="4" xfId="0" applyNumberFormat="1" applyFont="1" applyBorder="1" applyAlignment="1">
      <alignment horizontal="center" vertical="center" wrapText="1"/>
    </xf>
    <xf numFmtId="3" fontId="47" fillId="0" borderId="0" xfId="0" applyNumberFormat="1" applyFont="1" applyAlignment="1">
      <alignment horizontal="left" vertical="center" wrapText="1"/>
    </xf>
    <xf numFmtId="3" fontId="53" fillId="28" borderId="1" xfId="0" applyNumberFormat="1" applyFont="1" applyFill="1" applyBorder="1" applyAlignment="1">
      <alignment horizontal="right" vertical="center" wrapText="1"/>
    </xf>
    <xf numFmtId="3" fontId="51" fillId="28" borderId="25" xfId="0" applyNumberFormat="1" applyFont="1" applyFill="1" applyBorder="1" applyAlignment="1">
      <alignment horizontal="left" vertical="center" wrapText="1"/>
    </xf>
    <xf numFmtId="0" fontId="46" fillId="28" borderId="1" xfId="0" applyFont="1" applyFill="1" applyBorder="1" applyAlignment="1">
      <alignment horizontal="center" vertical="center" wrapText="1"/>
    </xf>
    <xf numFmtId="0" fontId="46" fillId="28" borderId="1" xfId="1" applyFont="1" applyFill="1" applyBorder="1" applyAlignment="1">
      <alignment horizontal="center" vertical="center"/>
    </xf>
    <xf numFmtId="49" fontId="46" fillId="28" borderId="1" xfId="1" applyNumberFormat="1" applyFont="1" applyFill="1" applyBorder="1" applyAlignment="1">
      <alignment horizontal="center" vertical="center"/>
    </xf>
    <xf numFmtId="3" fontId="47" fillId="0" borderId="0" xfId="0" applyNumberFormat="1" applyFont="1" applyAlignment="1">
      <alignment vertical="center"/>
    </xf>
    <xf numFmtId="3" fontId="47" fillId="0" borderId="0" xfId="0" applyNumberFormat="1" applyFont="1" applyAlignment="1">
      <alignment horizontal="center" vertical="center"/>
    </xf>
    <xf numFmtId="0" fontId="48" fillId="0" borderId="0" xfId="0" applyFont="1" applyAlignment="1">
      <alignment vertical="center"/>
    </xf>
    <xf numFmtId="0" fontId="51" fillId="0" borderId="0" xfId="0" applyFont="1" applyAlignment="1">
      <alignment vertical="center"/>
    </xf>
    <xf numFmtId="3" fontId="46" fillId="0" borderId="0" xfId="6" applyNumberFormat="1" applyFont="1" applyAlignment="1" applyProtection="1">
      <alignment horizontal="right" vertical="center"/>
      <protection locked="0"/>
    </xf>
    <xf numFmtId="3" fontId="51" fillId="0" borderId="0" xfId="6" applyNumberFormat="1" applyFont="1" applyAlignment="1" applyProtection="1">
      <alignment horizontal="center" vertical="center"/>
      <protection locked="0"/>
    </xf>
    <xf numFmtId="9" fontId="51" fillId="0" borderId="0" xfId="12" applyFont="1" applyFill="1" applyBorder="1" applyAlignment="1" applyProtection="1">
      <alignment horizontal="center" vertical="center"/>
      <protection locked="0"/>
    </xf>
    <xf numFmtId="49" fontId="46" fillId="0" borderId="0" xfId="6" applyNumberFormat="1" applyFont="1" applyAlignment="1">
      <alignment horizontal="center" vertical="center"/>
    </xf>
    <xf numFmtId="0" fontId="47" fillId="0" borderId="0" xfId="0" applyFont="1" applyAlignment="1">
      <alignment horizontal="center" vertical="center"/>
    </xf>
    <xf numFmtId="0" fontId="47" fillId="0" borderId="0" xfId="0" applyFont="1" applyAlignment="1">
      <alignment horizontal="right" vertical="center"/>
    </xf>
    <xf numFmtId="3" fontId="47" fillId="0" borderId="1" xfId="1" applyNumberFormat="1" applyFont="1" applyBorder="1" applyAlignment="1">
      <alignment horizontal="center" vertical="center" wrapText="1"/>
    </xf>
    <xf numFmtId="0" fontId="47" fillId="0" borderId="1" xfId="6" applyFont="1" applyBorder="1" applyAlignment="1">
      <alignment horizontal="left" vertical="center" wrapText="1"/>
    </xf>
    <xf numFmtId="3" fontId="47" fillId="0" borderId="1" xfId="6" applyNumberFormat="1" applyFont="1" applyBorder="1" applyAlignment="1">
      <alignment horizontal="right" vertical="center" wrapText="1"/>
    </xf>
    <xf numFmtId="3" fontId="48" fillId="0" borderId="1" xfId="6" applyNumberFormat="1" applyFont="1" applyBorder="1" applyAlignment="1">
      <alignment horizontal="center" vertical="center" wrapText="1"/>
    </xf>
    <xf numFmtId="9" fontId="48" fillId="0" borderId="1" xfId="12" applyFont="1" applyFill="1" applyBorder="1" applyAlignment="1" applyProtection="1">
      <alignment horizontal="center" vertical="center" wrapText="1"/>
    </xf>
    <xf numFmtId="0" fontId="47" fillId="4" borderId="1" xfId="0" applyFont="1" applyFill="1" applyBorder="1" applyAlignment="1">
      <alignment horizontal="center" vertical="center" wrapText="1"/>
    </xf>
    <xf numFmtId="0" fontId="47" fillId="4" borderId="1" xfId="0" applyFont="1" applyFill="1" applyBorder="1" applyAlignment="1">
      <alignment horizontal="left" vertical="center" wrapText="1"/>
    </xf>
    <xf numFmtId="0" fontId="47" fillId="4" borderId="9" xfId="0" applyFont="1" applyFill="1" applyBorder="1" applyAlignment="1">
      <alignment horizontal="center" vertical="center" wrapText="1"/>
    </xf>
    <xf numFmtId="0" fontId="47" fillId="4" borderId="9" xfId="0" applyFont="1" applyFill="1" applyBorder="1" applyAlignment="1">
      <alignment horizontal="left" vertical="center" wrapText="1"/>
    </xf>
    <xf numFmtId="3" fontId="47" fillId="0" borderId="1" xfId="6" applyNumberFormat="1" applyFont="1" applyBorder="1" applyAlignment="1" applyProtection="1">
      <alignment horizontal="right" vertical="center" wrapText="1"/>
      <protection locked="0"/>
    </xf>
    <xf numFmtId="0" fontId="47" fillId="4" borderId="10" xfId="0" applyFont="1" applyFill="1" applyBorder="1" applyAlignment="1">
      <alignment horizontal="left" vertical="center" wrapText="1"/>
    </xf>
    <xf numFmtId="3" fontId="47" fillId="0" borderId="0" xfId="6" applyNumberFormat="1" applyFont="1" applyAlignment="1">
      <alignment horizontal="left" vertical="center" wrapText="1"/>
    </xf>
    <xf numFmtId="3" fontId="47" fillId="0" borderId="0" xfId="6" applyNumberFormat="1" applyFont="1" applyAlignment="1">
      <alignment horizontal="right" vertical="center" wrapText="1"/>
    </xf>
    <xf numFmtId="3" fontId="47" fillId="0" borderId="0" xfId="0" applyNumberFormat="1" applyFont="1" applyAlignment="1">
      <alignment horizontal="right" vertical="center"/>
    </xf>
    <xf numFmtId="3" fontId="47" fillId="0" borderId="0" xfId="6" applyNumberFormat="1" applyFont="1" applyAlignment="1">
      <alignment horizontal="right" vertical="center"/>
    </xf>
    <xf numFmtId="3" fontId="48" fillId="0" borderId="0" xfId="0" applyNumberFormat="1" applyFont="1" applyAlignment="1">
      <alignment horizontal="center" vertical="center"/>
    </xf>
    <xf numFmtId="49" fontId="46" fillId="28" borderId="5" xfId="6" applyNumberFormat="1" applyFont="1" applyFill="1" applyBorder="1" applyAlignment="1">
      <alignment horizontal="center" vertical="center"/>
    </xf>
    <xf numFmtId="3" fontId="46" fillId="28" borderId="1" xfId="6" applyNumberFormat="1" applyFont="1" applyFill="1" applyBorder="1" applyAlignment="1">
      <alignment horizontal="center" vertical="center"/>
    </xf>
    <xf numFmtId="49" fontId="47" fillId="0" borderId="5" xfId="6" applyNumberFormat="1" applyFont="1" applyBorder="1" applyAlignment="1">
      <alignment horizontal="center" vertical="center"/>
    </xf>
    <xf numFmtId="0" fontId="47" fillId="0" borderId="4" xfId="6" applyFont="1" applyBorder="1" applyAlignment="1">
      <alignment vertical="center" wrapText="1"/>
    </xf>
    <xf numFmtId="3" fontId="47" fillId="0" borderId="4" xfId="6" applyNumberFormat="1" applyFont="1" applyBorder="1" applyAlignment="1">
      <alignment horizontal="right" vertical="center" wrapText="1"/>
    </xf>
    <xf numFmtId="49" fontId="48" fillId="2" borderId="1" xfId="12" applyNumberFormat="1" applyFont="1" applyFill="1" applyBorder="1" applyAlignment="1" applyProtection="1">
      <alignment horizontal="left" vertical="center"/>
    </xf>
    <xf numFmtId="0" fontId="47" fillId="0" borderId="1" xfId="0" applyFont="1" applyBorder="1" applyAlignment="1">
      <alignment horizontal="left" vertical="center" wrapText="1" indent="2" readingOrder="1"/>
    </xf>
    <xf numFmtId="3" fontId="47" fillId="0" borderId="1" xfId="0" applyNumberFormat="1" applyFont="1" applyBorder="1" applyAlignment="1">
      <alignment horizontal="right" vertical="center" wrapText="1"/>
    </xf>
    <xf numFmtId="49" fontId="47" fillId="0" borderId="5" xfId="6" applyNumberFormat="1" applyFont="1" applyBorder="1" applyAlignment="1">
      <alignment horizontal="right" vertical="center"/>
    </xf>
    <xf numFmtId="0" fontId="48" fillId="0" borderId="1" xfId="0" applyFont="1" applyBorder="1" applyAlignment="1">
      <alignment horizontal="left" vertical="center" wrapText="1" indent="4" readingOrder="1"/>
    </xf>
    <xf numFmtId="0" fontId="47" fillId="0" borderId="6" xfId="0" applyFont="1" applyBorder="1" applyAlignment="1">
      <alignment horizontal="left" vertical="center" wrapText="1" readingOrder="1"/>
    </xf>
    <xf numFmtId="3" fontId="47" fillId="0" borderId="2" xfId="0" applyNumberFormat="1" applyFont="1" applyBorder="1" applyAlignment="1">
      <alignment horizontal="right" vertical="center" wrapText="1"/>
    </xf>
    <xf numFmtId="3" fontId="48" fillId="0" borderId="2" xfId="0" applyNumberFormat="1" applyFont="1" applyBorder="1" applyAlignment="1">
      <alignment horizontal="center" vertical="center" wrapText="1"/>
    </xf>
    <xf numFmtId="3" fontId="47" fillId="0" borderId="2" xfId="12" applyNumberFormat="1" applyFont="1" applyFill="1" applyBorder="1" applyAlignment="1" applyProtection="1">
      <alignment horizontal="right" vertical="center" wrapText="1"/>
    </xf>
    <xf numFmtId="3" fontId="48" fillId="0" borderId="2" xfId="12" applyNumberFormat="1" applyFont="1" applyFill="1" applyBorder="1" applyAlignment="1" applyProtection="1">
      <alignment horizontal="center" vertical="center" wrapText="1"/>
    </xf>
    <xf numFmtId="3" fontId="47" fillId="0" borderId="2" xfId="0" applyNumberFormat="1" applyFont="1" applyBorder="1" applyAlignment="1" applyProtection="1">
      <alignment horizontal="right" vertical="center" wrapText="1"/>
      <protection locked="0"/>
    </xf>
    <xf numFmtId="3" fontId="48" fillId="0" borderId="2" xfId="0" applyNumberFormat="1" applyFont="1" applyBorder="1" applyAlignment="1" applyProtection="1">
      <alignment horizontal="center" vertical="center" wrapText="1"/>
      <protection locked="0"/>
    </xf>
    <xf numFmtId="3" fontId="46" fillId="28" borderId="3" xfId="6" applyNumberFormat="1" applyFont="1" applyFill="1" applyBorder="1" applyAlignment="1">
      <alignment horizontal="center" vertical="center"/>
    </xf>
    <xf numFmtId="3" fontId="51" fillId="28" borderId="3" xfId="6" applyNumberFormat="1" applyFont="1" applyFill="1" applyBorder="1" applyAlignment="1">
      <alignment horizontal="center" vertical="center"/>
    </xf>
    <xf numFmtId="49" fontId="47" fillId="2" borderId="1" xfId="6" applyNumberFormat="1" applyFont="1" applyFill="1" applyBorder="1" applyAlignment="1">
      <alignment horizontal="center" vertical="center"/>
    </xf>
    <xf numFmtId="3" fontId="47" fillId="2" borderId="6" xfId="6" applyNumberFormat="1" applyFont="1" applyFill="1" applyBorder="1" applyAlignment="1">
      <alignment vertical="center" wrapText="1"/>
    </xf>
    <xf numFmtId="3" fontId="47" fillId="2" borderId="6" xfId="6" applyNumberFormat="1" applyFont="1" applyFill="1" applyBorder="1" applyAlignment="1" applyProtection="1">
      <alignment horizontal="right" vertical="center" wrapText="1"/>
      <protection locked="0"/>
    </xf>
    <xf numFmtId="3" fontId="47" fillId="2" borderId="1" xfId="0" applyNumberFormat="1" applyFont="1" applyFill="1" applyBorder="1" applyAlignment="1" applyProtection="1">
      <alignment horizontal="right" vertical="center"/>
      <protection locked="0"/>
    </xf>
    <xf numFmtId="3" fontId="48" fillId="2" borderId="1" xfId="0" applyNumberFormat="1" applyFont="1" applyFill="1" applyBorder="1" applyAlignment="1" applyProtection="1">
      <alignment horizontal="center" vertical="center"/>
      <protection locked="0"/>
    </xf>
    <xf numFmtId="3" fontId="47" fillId="2" borderId="1" xfId="6" applyNumberFormat="1" applyFont="1" applyFill="1" applyBorder="1" applyAlignment="1" applyProtection="1">
      <alignment horizontal="right" vertical="center" wrapText="1"/>
      <protection locked="0"/>
    </xf>
    <xf numFmtId="49" fontId="47" fillId="0" borderId="1" xfId="6" applyNumberFormat="1" applyFont="1" applyBorder="1" applyAlignment="1">
      <alignment horizontal="center" vertical="center"/>
    </xf>
    <xf numFmtId="49" fontId="48" fillId="0" borderId="1" xfId="12" applyNumberFormat="1" applyFont="1" applyFill="1" applyBorder="1" applyAlignment="1" applyProtection="1">
      <alignment horizontal="left" vertical="center"/>
    </xf>
    <xf numFmtId="3" fontId="47" fillId="2" borderId="6" xfId="6" applyNumberFormat="1" applyFont="1" applyFill="1" applyBorder="1" applyAlignment="1">
      <alignment horizontal="left" vertical="center" wrapText="1"/>
    </xf>
    <xf numFmtId="49" fontId="47" fillId="2" borderId="1" xfId="6" applyNumberFormat="1" applyFont="1" applyFill="1" applyBorder="1" applyAlignment="1">
      <alignment horizontal="right" vertical="center"/>
    </xf>
    <xf numFmtId="3" fontId="48" fillId="2" borderId="6" xfId="6" applyNumberFormat="1" applyFont="1" applyFill="1" applyBorder="1" applyAlignment="1">
      <alignment horizontal="left" vertical="center" wrapText="1" indent="2"/>
    </xf>
    <xf numFmtId="3" fontId="47" fillId="0" borderId="6" xfId="0" applyNumberFormat="1" applyFont="1" applyBorder="1" applyAlignment="1" applyProtection="1">
      <alignment horizontal="right" vertical="center" wrapText="1"/>
      <protection locked="0"/>
    </xf>
    <xf numFmtId="49" fontId="46" fillId="28" borderId="1" xfId="6" applyNumberFormat="1" applyFont="1" applyFill="1" applyBorder="1" applyAlignment="1">
      <alignment horizontal="center" vertical="center"/>
    </xf>
    <xf numFmtId="3" fontId="48" fillId="2" borderId="1" xfId="6" applyNumberFormat="1" applyFont="1" applyFill="1" applyBorder="1" applyAlignment="1">
      <alignment horizontal="left" vertical="center" wrapText="1" indent="2"/>
    </xf>
    <xf numFmtId="49" fontId="47" fillId="2" borderId="5" xfId="6" applyNumberFormat="1" applyFont="1" applyFill="1" applyBorder="1" applyAlignment="1">
      <alignment horizontal="center" vertical="center"/>
    </xf>
    <xf numFmtId="3" fontId="48" fillId="0" borderId="4" xfId="6" applyNumberFormat="1" applyFont="1" applyBorder="1" applyAlignment="1">
      <alignment horizontal="left" vertical="center" wrapText="1" indent="2"/>
    </xf>
    <xf numFmtId="3" fontId="47" fillId="0" borderId="8" xfId="6" applyNumberFormat="1" applyFont="1" applyBorder="1" applyAlignment="1" applyProtection="1">
      <alignment horizontal="right" vertical="center" wrapText="1"/>
      <protection locked="0"/>
    </xf>
    <xf numFmtId="3" fontId="47" fillId="2" borderId="3" xfId="0" applyNumberFormat="1" applyFont="1" applyFill="1" applyBorder="1" applyAlignment="1" applyProtection="1">
      <alignment horizontal="right" vertical="center"/>
      <protection locked="0"/>
    </xf>
    <xf numFmtId="9" fontId="48" fillId="2" borderId="3" xfId="12" applyFont="1" applyFill="1" applyBorder="1" applyAlignment="1" applyProtection="1">
      <alignment horizontal="center" vertical="center"/>
    </xf>
    <xf numFmtId="0" fontId="47" fillId="0" borderId="1" xfId="0" applyFont="1" applyBorder="1" applyAlignment="1">
      <alignment horizontal="left" vertical="center" wrapText="1" readingOrder="1"/>
    </xf>
    <xf numFmtId="0" fontId="47" fillId="2" borderId="1" xfId="6" applyFont="1" applyFill="1" applyBorder="1" applyAlignment="1">
      <alignment vertical="center"/>
    </xf>
    <xf numFmtId="3" fontId="53" fillId="28" borderId="1" xfId="6" applyNumberFormat="1" applyFont="1" applyFill="1" applyBorder="1" applyAlignment="1">
      <alignment vertical="center" wrapText="1"/>
    </xf>
    <xf numFmtId="0" fontId="46" fillId="28" borderId="3" xfId="6" applyFont="1" applyFill="1" applyBorder="1" applyAlignment="1">
      <alignment horizontal="center" vertical="center" wrapText="1"/>
    </xf>
    <xf numFmtId="3" fontId="47" fillId="2" borderId="3" xfId="6" applyNumberFormat="1" applyFont="1" applyFill="1" applyBorder="1" applyAlignment="1" applyProtection="1">
      <alignment horizontal="right" vertical="center" wrapText="1"/>
      <protection locked="0"/>
    </xf>
    <xf numFmtId="3" fontId="47" fillId="2" borderId="3" xfId="6" applyNumberFormat="1" applyFont="1" applyFill="1" applyBorder="1" applyAlignment="1" applyProtection="1">
      <alignment horizontal="right" vertical="center"/>
      <protection locked="0"/>
    </xf>
    <xf numFmtId="3" fontId="48" fillId="0" borderId="1" xfId="6" applyNumberFormat="1" applyFont="1" applyBorder="1" applyAlignment="1">
      <alignment horizontal="left" vertical="center" wrapText="1" indent="2"/>
    </xf>
    <xf numFmtId="49" fontId="47" fillId="0" borderId="0" xfId="6" applyNumberFormat="1" applyFont="1" applyAlignment="1">
      <alignment horizontal="center" vertical="center"/>
    </xf>
    <xf numFmtId="0" fontId="47" fillId="0" borderId="0" xfId="0" applyFont="1" applyAlignment="1">
      <alignment vertical="center" wrapText="1"/>
    </xf>
    <xf numFmtId="0" fontId="47" fillId="0" borderId="0" xfId="6" applyFont="1"/>
    <xf numFmtId="0" fontId="56" fillId="0" borderId="0" xfId="0" applyFont="1" applyAlignment="1">
      <alignment horizontal="center" vertical="center" wrapText="1"/>
    </xf>
    <xf numFmtId="0" fontId="56" fillId="0" borderId="0" xfId="0" applyFont="1" applyAlignment="1">
      <alignment horizontal="left" vertical="center" wrapText="1"/>
    </xf>
    <xf numFmtId="0" fontId="47" fillId="0" borderId="0" xfId="6" applyFont="1" applyAlignment="1">
      <alignment horizontal="left" vertical="center" wrapText="1"/>
    </xf>
    <xf numFmtId="0" fontId="47" fillId="0" borderId="0" xfId="6" applyFont="1" applyAlignment="1">
      <alignment horizontal="left" vertical="center"/>
    </xf>
    <xf numFmtId="0" fontId="46" fillId="2" borderId="1" xfId="0" applyFont="1" applyFill="1" applyBorder="1" applyAlignment="1">
      <alignment horizontal="right" vertical="center" wrapText="1"/>
    </xf>
    <xf numFmtId="0" fontId="46" fillId="29" borderId="1" xfId="0" applyFont="1" applyFill="1" applyBorder="1" applyAlignment="1">
      <alignment horizontal="center" vertical="center"/>
    </xf>
    <xf numFmtId="3" fontId="46" fillId="29" borderId="1" xfId="0" applyNumberFormat="1" applyFont="1" applyFill="1" applyBorder="1" applyAlignment="1">
      <alignment horizontal="right" vertical="center" wrapText="1"/>
    </xf>
    <xf numFmtId="3" fontId="51" fillId="29" borderId="1" xfId="0" applyNumberFormat="1" applyFont="1" applyFill="1" applyBorder="1" applyAlignment="1">
      <alignment horizontal="center" vertical="center" wrapText="1"/>
    </xf>
    <xf numFmtId="166" fontId="51" fillId="29" borderId="1" xfId="12" applyNumberFormat="1" applyFont="1" applyFill="1" applyBorder="1" applyAlignment="1" applyProtection="1">
      <alignment horizontal="center" vertical="center" wrapText="1"/>
    </xf>
    <xf numFmtId="3" fontId="51" fillId="29" borderId="25" xfId="0" applyNumberFormat="1" applyFont="1" applyFill="1" applyBorder="1" applyAlignment="1">
      <alignment horizontal="left" vertical="center" wrapText="1"/>
    </xf>
    <xf numFmtId="0" fontId="47" fillId="2" borderId="1" xfId="0" applyFont="1" applyFill="1" applyBorder="1" applyAlignment="1">
      <alignment horizontal="right" vertical="center"/>
    </xf>
    <xf numFmtId="3" fontId="41" fillId="2" borderId="0" xfId="0" applyNumberFormat="1" applyFont="1" applyFill="1" applyAlignment="1">
      <alignment vertical="center"/>
    </xf>
    <xf numFmtId="49" fontId="47" fillId="2" borderId="1" xfId="0" applyNumberFormat="1" applyFont="1" applyFill="1" applyBorder="1" applyAlignment="1">
      <alignment horizontal="right" vertical="center"/>
    </xf>
    <xf numFmtId="3" fontId="40" fillId="2" borderId="0" xfId="0" applyNumberFormat="1" applyFont="1" applyFill="1" applyAlignment="1">
      <alignment vertical="center"/>
    </xf>
    <xf numFmtId="3" fontId="46" fillId="2" borderId="1" xfId="0" applyNumberFormat="1" applyFont="1" applyFill="1" applyBorder="1" applyAlignment="1">
      <alignment horizontal="right" vertical="center" wrapText="1"/>
    </xf>
    <xf numFmtId="3" fontId="46" fillId="29" borderId="1" xfId="0" applyNumberFormat="1" applyFont="1" applyFill="1" applyBorder="1" applyAlignment="1">
      <alignment horizontal="left" vertical="center" wrapText="1"/>
    </xf>
    <xf numFmtId="3" fontId="51" fillId="2" borderId="1" xfId="0" applyNumberFormat="1" applyFont="1" applyFill="1" applyBorder="1" applyAlignment="1" applyProtection="1">
      <alignment horizontal="left" vertical="center" wrapText="1"/>
      <protection locked="0"/>
    </xf>
    <xf numFmtId="3" fontId="43" fillId="2" borderId="0" xfId="0" applyNumberFormat="1" applyFont="1" applyFill="1" applyAlignment="1">
      <alignment vertical="center"/>
    </xf>
    <xf numFmtId="3" fontId="46" fillId="2" borderId="1" xfId="0" applyNumberFormat="1" applyFont="1" applyFill="1" applyBorder="1" applyAlignment="1">
      <alignment horizontal="center" vertical="center" wrapText="1"/>
    </xf>
    <xf numFmtId="166" fontId="46" fillId="2" borderId="1" xfId="12" applyNumberFormat="1" applyFont="1" applyFill="1" applyBorder="1" applyAlignment="1" applyProtection="1">
      <alignment horizontal="center" vertical="center" wrapText="1"/>
    </xf>
    <xf numFmtId="3" fontId="46" fillId="2" borderId="1" xfId="0" applyNumberFormat="1" applyFont="1" applyFill="1" applyBorder="1" applyAlignment="1" applyProtection="1">
      <alignment horizontal="left" vertical="center" wrapText="1"/>
      <protection locked="0"/>
    </xf>
    <xf numFmtId="0" fontId="47" fillId="0" borderId="1" xfId="0" applyFont="1" applyBorder="1" applyAlignment="1">
      <alignment horizontal="right" vertical="center"/>
    </xf>
    <xf numFmtId="0" fontId="46" fillId="2" borderId="1" xfId="0" applyFont="1" applyFill="1" applyBorder="1" applyAlignment="1">
      <alignment horizontal="center" vertical="center" wrapText="1"/>
    </xf>
    <xf numFmtId="3" fontId="51" fillId="2" borderId="4" xfId="0" applyNumberFormat="1" applyFont="1" applyFill="1" applyBorder="1" applyAlignment="1">
      <alignment horizontal="center" vertical="center" wrapText="1"/>
    </xf>
    <xf numFmtId="0" fontId="46" fillId="2" borderId="1" xfId="1" applyFont="1" applyFill="1" applyBorder="1" applyAlignment="1">
      <alignment horizontal="center" vertical="center"/>
    </xf>
    <xf numFmtId="0" fontId="47" fillId="2" borderId="1" xfId="1" applyFont="1" applyFill="1" applyBorder="1" applyAlignment="1">
      <alignment horizontal="right" vertical="center"/>
    </xf>
    <xf numFmtId="49" fontId="46" fillId="29" borderId="1" xfId="0" applyNumberFormat="1" applyFont="1" applyFill="1" applyBorder="1" applyAlignment="1">
      <alignment horizontal="center" vertical="center"/>
    </xf>
    <xf numFmtId="0" fontId="46" fillId="30" borderId="1" xfId="0" applyFont="1" applyFill="1" applyBorder="1" applyAlignment="1">
      <alignment horizontal="center" vertical="center"/>
    </xf>
    <xf numFmtId="3" fontId="46" fillId="30" borderId="1" xfId="0" applyNumberFormat="1" applyFont="1" applyFill="1" applyBorder="1" applyAlignment="1">
      <alignment horizontal="center" vertical="center" wrapText="1"/>
    </xf>
    <xf numFmtId="3" fontId="46" fillId="30" borderId="1" xfId="0" applyNumberFormat="1" applyFont="1" applyFill="1" applyBorder="1" applyAlignment="1">
      <alignment horizontal="right" vertical="center" wrapText="1"/>
    </xf>
    <xf numFmtId="3" fontId="51" fillId="30" borderId="1" xfId="0" applyNumberFormat="1" applyFont="1" applyFill="1" applyBorder="1" applyAlignment="1">
      <alignment horizontal="center" vertical="center" wrapText="1"/>
    </xf>
    <xf numFmtId="166" fontId="51" fillId="30" borderId="1" xfId="12" applyNumberFormat="1" applyFont="1" applyFill="1" applyBorder="1" applyAlignment="1" applyProtection="1">
      <alignment horizontal="center" vertical="center" wrapText="1"/>
    </xf>
    <xf numFmtId="3" fontId="51" fillId="30" borderId="25" xfId="0" applyNumberFormat="1" applyFont="1" applyFill="1" applyBorder="1" applyAlignment="1">
      <alignment horizontal="left" vertical="center" wrapText="1"/>
    </xf>
    <xf numFmtId="0" fontId="46" fillId="31" borderId="1" xfId="0" applyFont="1" applyFill="1" applyBorder="1" applyAlignment="1">
      <alignment horizontal="center" vertical="center"/>
    </xf>
    <xf numFmtId="3" fontId="46" fillId="31" borderId="1" xfId="0" applyNumberFormat="1" applyFont="1" applyFill="1" applyBorder="1" applyAlignment="1">
      <alignment horizontal="center" vertical="center" wrapText="1"/>
    </xf>
    <xf numFmtId="3" fontId="46" fillId="31" borderId="1" xfId="0" applyNumberFormat="1" applyFont="1" applyFill="1" applyBorder="1" applyAlignment="1">
      <alignment horizontal="right" vertical="center" wrapText="1"/>
    </xf>
    <xf numFmtId="3" fontId="51" fillId="31" borderId="1" xfId="0" applyNumberFormat="1" applyFont="1" applyFill="1" applyBorder="1" applyAlignment="1">
      <alignment horizontal="center" vertical="center" wrapText="1"/>
    </xf>
    <xf numFmtId="166" fontId="51" fillId="31" borderId="1" xfId="12" applyNumberFormat="1" applyFont="1" applyFill="1" applyBorder="1" applyAlignment="1" applyProtection="1">
      <alignment horizontal="center" vertical="center" wrapText="1"/>
    </xf>
    <xf numFmtId="3" fontId="51" fillId="31" borderId="25" xfId="0" applyNumberFormat="1" applyFont="1" applyFill="1" applyBorder="1" applyAlignment="1">
      <alignment horizontal="left" vertical="center" wrapText="1"/>
    </xf>
    <xf numFmtId="3" fontId="46" fillId="31" borderId="1" xfId="6" applyNumberFormat="1" applyFont="1" applyFill="1" applyBorder="1" applyAlignment="1">
      <alignment horizontal="center" vertical="center" wrapText="1"/>
    </xf>
    <xf numFmtId="49" fontId="46" fillId="31" borderId="5" xfId="6" applyNumberFormat="1" applyFont="1" applyFill="1" applyBorder="1" applyAlignment="1">
      <alignment horizontal="center" vertical="center"/>
    </xf>
    <xf numFmtId="0" fontId="46" fillId="31" borderId="7" xfId="6" applyFont="1" applyFill="1" applyBorder="1" applyAlignment="1">
      <alignment vertical="center" wrapText="1"/>
    </xf>
    <xf numFmtId="3" fontId="46" fillId="31" borderId="3" xfId="6" applyNumberFormat="1" applyFont="1" applyFill="1" applyBorder="1" applyAlignment="1">
      <alignment horizontal="center" vertical="center"/>
    </xf>
    <xf numFmtId="3" fontId="46" fillId="31" borderId="1" xfId="6" applyNumberFormat="1" applyFont="1" applyFill="1" applyBorder="1" applyAlignment="1">
      <alignment horizontal="center" vertical="center"/>
    </xf>
    <xf numFmtId="3" fontId="51" fillId="31" borderId="3" xfId="6" applyNumberFormat="1" applyFont="1" applyFill="1" applyBorder="1" applyAlignment="1">
      <alignment horizontal="center" vertical="center"/>
    </xf>
    <xf numFmtId="0" fontId="46" fillId="31" borderId="6" xfId="0" applyFont="1" applyFill="1" applyBorder="1" applyAlignment="1">
      <alignment horizontal="left" vertical="center" wrapText="1" readingOrder="1"/>
    </xf>
    <xf numFmtId="0" fontId="46" fillId="31" borderId="2" xfId="0" applyFont="1" applyFill="1" applyBorder="1" applyAlignment="1">
      <alignment horizontal="center" vertical="center" wrapText="1"/>
    </xf>
    <xf numFmtId="49" fontId="46" fillId="31" borderId="1" xfId="6" applyNumberFormat="1" applyFont="1" applyFill="1" applyBorder="1" applyAlignment="1">
      <alignment horizontal="center" vertical="center"/>
    </xf>
    <xf numFmtId="3" fontId="46" fillId="31" borderId="1" xfId="6" applyNumberFormat="1" applyFont="1" applyFill="1" applyBorder="1" applyAlignment="1">
      <alignment vertical="center" wrapText="1"/>
    </xf>
    <xf numFmtId="0" fontId="46" fillId="31" borderId="4" xfId="6" applyFont="1" applyFill="1" applyBorder="1" applyAlignment="1">
      <alignment vertical="center" wrapText="1"/>
    </xf>
    <xf numFmtId="0" fontId="46" fillId="31" borderId="1" xfId="0" applyFont="1" applyFill="1" applyBorder="1" applyAlignment="1">
      <alignment horizontal="left" vertical="center" wrapText="1" readingOrder="1"/>
    </xf>
    <xf numFmtId="3" fontId="46" fillId="31" borderId="1" xfId="6" applyNumberFormat="1" applyFont="1" applyFill="1" applyBorder="1" applyAlignment="1">
      <alignment horizontal="left" vertical="center" wrapText="1"/>
    </xf>
    <xf numFmtId="3" fontId="46" fillId="31" borderId="1" xfId="0" applyNumberFormat="1" applyFont="1" applyFill="1" applyBorder="1" applyAlignment="1">
      <alignment horizontal="center" vertical="center"/>
    </xf>
    <xf numFmtId="3" fontId="51" fillId="31" borderId="1" xfId="0" applyNumberFormat="1" applyFont="1" applyFill="1" applyBorder="1" applyAlignment="1">
      <alignment horizontal="center" vertical="center"/>
    </xf>
    <xf numFmtId="0" fontId="46" fillId="31" borderId="5" xfId="6" applyFont="1" applyFill="1" applyBorder="1" applyAlignment="1">
      <alignment horizontal="center" vertical="center"/>
    </xf>
    <xf numFmtId="0" fontId="48" fillId="31" borderId="0" xfId="0" applyFont="1" applyFill="1" applyAlignment="1">
      <alignment horizontal="center" vertical="center"/>
    </xf>
    <xf numFmtId="49" fontId="47" fillId="31" borderId="0" xfId="0" applyNumberFormat="1" applyFont="1" applyFill="1" applyAlignment="1">
      <alignment horizontal="left" vertical="center"/>
    </xf>
    <xf numFmtId="0" fontId="47" fillId="31" borderId="0" xfId="0" applyFont="1" applyFill="1" applyAlignment="1">
      <alignment vertical="center"/>
    </xf>
    <xf numFmtId="9" fontId="48" fillId="31" borderId="0" xfId="12" applyFont="1" applyFill="1" applyAlignment="1" applyProtection="1">
      <alignment horizontal="center" vertical="center"/>
    </xf>
    <xf numFmtId="49" fontId="46" fillId="28" borderId="25" xfId="6" applyNumberFormat="1" applyFont="1" applyFill="1" applyBorder="1" applyAlignment="1">
      <alignment horizontal="left" vertical="center" wrapText="1"/>
    </xf>
    <xf numFmtId="49" fontId="46" fillId="28" borderId="25" xfId="0" applyNumberFormat="1" applyFont="1" applyFill="1" applyBorder="1" applyAlignment="1">
      <alignment horizontal="left" vertical="center"/>
    </xf>
    <xf numFmtId="49" fontId="46" fillId="28" borderId="25" xfId="6" applyNumberFormat="1" applyFont="1" applyFill="1" applyBorder="1" applyAlignment="1">
      <alignment horizontal="left" vertical="center"/>
    </xf>
    <xf numFmtId="3" fontId="51" fillId="28" borderId="25" xfId="0" applyNumberFormat="1" applyFont="1" applyFill="1" applyBorder="1" applyAlignment="1">
      <alignment vertical="center" wrapText="1"/>
    </xf>
    <xf numFmtId="3" fontId="46" fillId="28" borderId="1" xfId="0" applyNumberFormat="1" applyFont="1" applyFill="1" applyBorder="1" applyAlignment="1" applyProtection="1">
      <alignment horizontal="right" vertical="center" wrapText="1"/>
      <protection locked="0"/>
    </xf>
    <xf numFmtId="3" fontId="51" fillId="28" borderId="1" xfId="0" applyNumberFormat="1" applyFont="1" applyFill="1" applyBorder="1" applyAlignment="1">
      <alignment vertical="center" wrapText="1"/>
    </xf>
    <xf numFmtId="3" fontId="47" fillId="2" borderId="1" xfId="6" applyNumberFormat="1" applyFont="1" applyFill="1" applyBorder="1" applyAlignment="1">
      <alignment horizontal="left" vertical="top" wrapText="1"/>
    </xf>
    <xf numFmtId="0" fontId="46" fillId="0" borderId="0" xfId="0" applyFont="1" applyAlignment="1">
      <alignment vertical="center"/>
    </xf>
    <xf numFmtId="0" fontId="46" fillId="0" borderId="0" xfId="0" applyFont="1" applyAlignment="1" applyProtection="1">
      <alignment vertical="center"/>
      <protection locked="0"/>
    </xf>
    <xf numFmtId="0" fontId="46" fillId="31" borderId="1" xfId="1" applyFont="1" applyFill="1" applyBorder="1" applyAlignment="1">
      <alignment horizontal="center" vertical="center"/>
    </xf>
    <xf numFmtId="0" fontId="46" fillId="28" borderId="1" xfId="0" applyFont="1" applyFill="1" applyBorder="1" applyAlignment="1" applyProtection="1">
      <alignment vertical="center"/>
      <protection locked="0"/>
    </xf>
    <xf numFmtId="1" fontId="46" fillId="31" borderId="1" xfId="0" applyNumberFormat="1" applyFont="1" applyFill="1" applyBorder="1" applyAlignment="1">
      <alignment horizontal="right" vertical="center" wrapText="1"/>
    </xf>
    <xf numFmtId="1" fontId="46" fillId="29" borderId="1" xfId="0" applyNumberFormat="1" applyFont="1" applyFill="1" applyBorder="1" applyAlignment="1">
      <alignment horizontal="right" vertical="center" wrapText="1"/>
    </xf>
    <xf numFmtId="1" fontId="46" fillId="28" borderId="1" xfId="0" applyNumberFormat="1" applyFont="1" applyFill="1" applyBorder="1" applyAlignment="1">
      <alignment horizontal="right" vertical="center" wrapText="1"/>
    </xf>
    <xf numFmtId="1" fontId="47" fillId="2" borderId="1" xfId="0" applyNumberFormat="1" applyFont="1" applyFill="1" applyBorder="1" applyAlignment="1" applyProtection="1">
      <alignment horizontal="right" vertical="center" wrapText="1"/>
      <protection locked="0"/>
    </xf>
    <xf numFmtId="1" fontId="47" fillId="0" borderId="1" xfId="0" applyNumberFormat="1" applyFont="1" applyBorder="1" applyAlignment="1" applyProtection="1">
      <alignment horizontal="right" vertical="center" wrapText="1"/>
      <protection locked="0"/>
    </xf>
    <xf numFmtId="1" fontId="46" fillId="2" borderId="1" xfId="0" applyNumberFormat="1" applyFont="1" applyFill="1" applyBorder="1" applyAlignment="1" applyProtection="1">
      <alignment horizontal="right" vertical="center" wrapText="1"/>
      <protection locked="0"/>
    </xf>
    <xf numFmtId="1" fontId="46" fillId="0" borderId="1" xfId="0" applyNumberFormat="1" applyFont="1" applyBorder="1" applyAlignment="1" applyProtection="1">
      <alignment horizontal="right" vertical="center" wrapText="1"/>
      <protection locked="0"/>
    </xf>
    <xf numFmtId="1" fontId="47" fillId="2" borderId="1" xfId="0" applyNumberFormat="1" applyFont="1" applyFill="1" applyBorder="1" applyAlignment="1">
      <alignment horizontal="right" vertical="center" wrapText="1"/>
    </xf>
    <xf numFmtId="1" fontId="46" fillId="2" borderId="1" xfId="0" applyNumberFormat="1" applyFont="1" applyFill="1" applyBorder="1" applyAlignment="1">
      <alignment horizontal="right" vertical="center" wrapText="1"/>
    </xf>
    <xf numFmtId="1" fontId="46" fillId="0" borderId="1" xfId="0" applyNumberFormat="1" applyFont="1" applyBorder="1" applyAlignment="1">
      <alignment horizontal="right" vertical="center" wrapText="1"/>
    </xf>
    <xf numFmtId="1" fontId="46" fillId="28" borderId="1" xfId="0" applyNumberFormat="1" applyFont="1" applyFill="1" applyBorder="1" applyAlignment="1" applyProtection="1">
      <alignment horizontal="right" vertical="center" wrapText="1"/>
      <protection locked="0"/>
    </xf>
    <xf numFmtId="1" fontId="53" fillId="28" borderId="1" xfId="0" applyNumberFormat="1" applyFont="1" applyFill="1" applyBorder="1" applyAlignment="1">
      <alignment horizontal="right" vertical="center" wrapText="1"/>
    </xf>
    <xf numFmtId="1" fontId="46" fillId="30" borderId="1" xfId="0" applyNumberFormat="1" applyFont="1" applyFill="1" applyBorder="1" applyAlignment="1">
      <alignment horizontal="right" vertical="center" wrapText="1"/>
    </xf>
    <xf numFmtId="0" fontId="34" fillId="0" borderId="1" xfId="1467" applyFont="1" applyBorder="1" applyAlignment="1">
      <alignment horizontal="center" vertical="center"/>
    </xf>
    <xf numFmtId="3" fontId="34" fillId="0" borderId="1" xfId="0" applyNumberFormat="1" applyFont="1" applyBorder="1" applyAlignment="1">
      <alignment horizontal="center" vertical="center" wrapText="1"/>
    </xf>
    <xf numFmtId="3" fontId="58" fillId="3" borderId="1" xfId="0" applyNumberFormat="1" applyFont="1" applyFill="1" applyBorder="1" applyAlignment="1">
      <alignment horizontal="center" vertical="center" wrapText="1"/>
    </xf>
    <xf numFmtId="166" fontId="58" fillId="3" borderId="1" xfId="12" applyNumberFormat="1" applyFont="1" applyFill="1" applyBorder="1" applyAlignment="1" applyProtection="1">
      <alignment horizontal="center" vertical="center" wrapText="1"/>
    </xf>
    <xf numFmtId="3" fontId="58" fillId="3" borderId="1" xfId="12" applyNumberFormat="1" applyFont="1" applyFill="1" applyBorder="1" applyAlignment="1" applyProtection="1">
      <alignment horizontal="center" vertical="center" wrapText="1"/>
    </xf>
    <xf numFmtId="0" fontId="34" fillId="0" borderId="1" xfId="1467" applyFont="1" applyBorder="1" applyAlignment="1">
      <alignment vertical="center" wrapText="1"/>
    </xf>
    <xf numFmtId="3" fontId="34" fillId="0" borderId="1" xfId="1467" applyNumberFormat="1" applyFont="1" applyBorder="1" applyAlignment="1" applyProtection="1">
      <alignment horizontal="center" vertical="center"/>
      <protection locked="0"/>
    </xf>
    <xf numFmtId="168" fontId="34" fillId="0" borderId="1" xfId="1467" applyNumberFormat="1" applyFont="1" applyBorder="1" applyAlignment="1" applyProtection="1">
      <alignment horizontal="center" vertical="center"/>
      <protection locked="0"/>
    </xf>
    <xf numFmtId="168" fontId="34" fillId="0" borderId="1" xfId="0" applyNumberFormat="1" applyFont="1" applyBorder="1" applyAlignment="1">
      <alignment horizontal="center" vertical="center" wrapText="1"/>
    </xf>
    <xf numFmtId="168" fontId="58" fillId="0" borderId="1" xfId="1467" applyNumberFormat="1" applyFont="1" applyBorder="1" applyAlignment="1" applyProtection="1">
      <alignment horizontal="center" vertical="center"/>
      <protection locked="0"/>
    </xf>
    <xf numFmtId="3" fontId="58" fillId="0" borderId="1" xfId="1467" applyNumberFormat="1" applyFont="1" applyBorder="1" applyAlignment="1" applyProtection="1">
      <alignment horizontal="center" vertical="center"/>
      <protection locked="0"/>
    </xf>
    <xf numFmtId="9" fontId="58" fillId="0" borderId="1" xfId="12" applyFont="1" applyFill="1" applyBorder="1" applyAlignment="1" applyProtection="1">
      <alignment horizontal="center" vertical="center"/>
      <protection locked="0"/>
    </xf>
    <xf numFmtId="49" fontId="34" fillId="0" borderId="1" xfId="1467" applyNumberFormat="1" applyFont="1" applyBorder="1" applyAlignment="1" applyProtection="1">
      <alignment horizontal="center" vertical="center"/>
      <protection locked="0"/>
    </xf>
    <xf numFmtId="3" fontId="57" fillId="28" borderId="1" xfId="1467" applyNumberFormat="1" applyFont="1" applyFill="1" applyBorder="1" applyAlignment="1">
      <alignment horizontal="center" vertical="center"/>
    </xf>
    <xf numFmtId="3" fontId="59" fillId="28" borderId="1" xfId="1467" applyNumberFormat="1" applyFont="1" applyFill="1" applyBorder="1" applyAlignment="1">
      <alignment horizontal="center" vertical="center"/>
    </xf>
    <xf numFmtId="9" fontId="59" fillId="28" borderId="1" xfId="12" applyFont="1" applyFill="1" applyBorder="1" applyAlignment="1" applyProtection="1">
      <alignment horizontal="center" vertical="center"/>
    </xf>
    <xf numFmtId="3" fontId="57" fillId="28" borderId="1" xfId="1467" applyNumberFormat="1" applyFont="1" applyFill="1" applyBorder="1" applyAlignment="1" applyProtection="1">
      <alignment horizontal="center" vertical="center"/>
      <protection locked="0"/>
    </xf>
    <xf numFmtId="9" fontId="58" fillId="28" borderId="1" xfId="12" applyFont="1" applyFill="1" applyBorder="1" applyAlignment="1" applyProtection="1">
      <alignment horizontal="center" vertical="center"/>
      <protection locked="0"/>
    </xf>
    <xf numFmtId="3" fontId="58" fillId="28" borderId="1" xfId="1467" applyNumberFormat="1" applyFont="1" applyFill="1" applyBorder="1" applyAlignment="1" applyProtection="1">
      <alignment horizontal="center" vertical="center"/>
      <protection locked="0"/>
    </xf>
    <xf numFmtId="49" fontId="34" fillId="28" borderId="1" xfId="1467" applyNumberFormat="1" applyFont="1" applyFill="1" applyBorder="1" applyAlignment="1" applyProtection="1">
      <alignment horizontal="center" vertical="center"/>
      <protection locked="0"/>
    </xf>
    <xf numFmtId="0" fontId="34" fillId="2" borderId="1" xfId="1467" applyFont="1" applyFill="1" applyBorder="1" applyAlignment="1">
      <alignment horizontal="center" vertical="center"/>
    </xf>
    <xf numFmtId="0" fontId="34" fillId="2" borderId="1" xfId="1467" applyFont="1" applyFill="1" applyBorder="1" applyAlignment="1">
      <alignment vertical="center" wrapText="1"/>
    </xf>
    <xf numFmtId="3" fontId="57" fillId="2" borderId="1" xfId="1467" applyNumberFormat="1" applyFont="1" applyFill="1" applyBorder="1" applyAlignment="1">
      <alignment horizontal="center" vertical="center"/>
    </xf>
    <xf numFmtId="3" fontId="59" fillId="2" borderId="1" xfId="1467" applyNumberFormat="1" applyFont="1" applyFill="1" applyBorder="1" applyAlignment="1">
      <alignment horizontal="center" vertical="center"/>
    </xf>
    <xf numFmtId="9" fontId="59" fillId="2" borderId="1" xfId="12" applyFont="1" applyFill="1" applyBorder="1" applyAlignment="1" applyProtection="1">
      <alignment horizontal="center" vertical="center"/>
    </xf>
    <xf numFmtId="49" fontId="57" fillId="2" borderId="1" xfId="1467" applyNumberFormat="1" applyFont="1" applyFill="1" applyBorder="1" applyAlignment="1">
      <alignment horizontal="center" vertical="center"/>
    </xf>
    <xf numFmtId="3" fontId="60" fillId="0" borderId="0" xfId="1467" applyNumberFormat="1" applyFont="1" applyAlignment="1">
      <alignment horizontal="center" vertical="center"/>
    </xf>
    <xf numFmtId="9" fontId="60" fillId="0" borderId="0" xfId="12" applyFont="1" applyFill="1" applyBorder="1" applyAlignment="1" applyProtection="1">
      <alignment horizontal="center" vertical="center"/>
    </xf>
    <xf numFmtId="0" fontId="34" fillId="0" borderId="0" xfId="1467" applyFont="1" applyAlignment="1">
      <alignment vertical="center"/>
    </xf>
    <xf numFmtId="1" fontId="51" fillId="31" borderId="1" xfId="12" applyNumberFormat="1" applyFont="1" applyFill="1" applyBorder="1" applyAlignment="1" applyProtection="1">
      <alignment horizontal="center" vertical="center" wrapText="1"/>
    </xf>
    <xf numFmtId="1" fontId="51" fillId="28" borderId="1" xfId="12" applyNumberFormat="1" applyFont="1" applyFill="1" applyBorder="1" applyAlignment="1" applyProtection="1">
      <alignment horizontal="center" vertical="center" wrapText="1"/>
    </xf>
    <xf numFmtId="49" fontId="34" fillId="0" borderId="1" xfId="1467" applyNumberFormat="1" applyFont="1" applyBorder="1" applyAlignment="1" applyProtection="1">
      <alignment horizontal="left" vertical="center" wrapText="1"/>
      <protection locked="0"/>
    </xf>
    <xf numFmtId="3" fontId="51" fillId="0" borderId="1" xfId="6" applyNumberFormat="1" applyFont="1" applyBorder="1" applyAlignment="1">
      <alignment horizontal="center" vertical="center" wrapText="1"/>
    </xf>
    <xf numFmtId="9" fontId="51" fillId="0" borderId="1" xfId="12" applyFont="1" applyFill="1" applyBorder="1" applyAlignment="1" applyProtection="1">
      <alignment horizontal="center" vertical="center" wrapText="1"/>
    </xf>
    <xf numFmtId="3" fontId="51" fillId="32" borderId="1" xfId="6" applyNumberFormat="1" applyFont="1" applyFill="1" applyBorder="1" applyAlignment="1">
      <alignment horizontal="center" vertical="center" wrapText="1"/>
    </xf>
    <xf numFmtId="9" fontId="51" fillId="32" borderId="1" xfId="12" applyFont="1" applyFill="1" applyBorder="1" applyAlignment="1" applyProtection="1">
      <alignment horizontal="center" vertical="center" wrapText="1"/>
    </xf>
    <xf numFmtId="3" fontId="46" fillId="0" borderId="1" xfId="0" applyNumberFormat="1" applyFont="1" applyBorder="1" applyAlignment="1" applyProtection="1">
      <alignment horizontal="left" vertical="center" wrapText="1"/>
      <protection locked="0"/>
    </xf>
    <xf numFmtId="3" fontId="51" fillId="0" borderId="25" xfId="0" applyNumberFormat="1" applyFont="1" applyBorder="1" applyAlignment="1">
      <alignment horizontal="left" vertical="center" wrapText="1"/>
    </xf>
    <xf numFmtId="3" fontId="47" fillId="0" borderId="1" xfId="6" applyNumberFormat="1" applyFont="1" applyBorder="1" applyAlignment="1">
      <alignment horizontal="right" vertical="center"/>
    </xf>
    <xf numFmtId="49" fontId="47" fillId="0" borderId="1" xfId="6" applyNumberFormat="1" applyFont="1" applyBorder="1" applyAlignment="1">
      <alignment horizontal="left" vertical="center" wrapText="1"/>
    </xf>
    <xf numFmtId="49" fontId="47" fillId="0" borderId="4" xfId="6" applyNumberFormat="1" applyFont="1" applyBorder="1" applyAlignment="1">
      <alignment horizontal="left" vertical="center" wrapText="1"/>
    </xf>
    <xf numFmtId="0" fontId="46" fillId="0" borderId="1" xfId="0" applyFont="1" applyBorder="1" applyAlignment="1">
      <alignment horizontal="center" vertical="center"/>
    </xf>
    <xf numFmtId="49" fontId="48" fillId="0" borderId="1" xfId="12" applyNumberFormat="1" applyFont="1" applyFill="1" applyBorder="1" applyAlignment="1" applyProtection="1">
      <alignment horizontal="left" vertical="center" wrapText="1"/>
    </xf>
    <xf numFmtId="3" fontId="58" fillId="0" borderId="1" xfId="0" applyNumberFormat="1" applyFont="1" applyBorder="1" applyAlignment="1">
      <alignment horizontal="center" vertical="center" wrapText="1"/>
    </xf>
    <xf numFmtId="166" fontId="58" fillId="0" borderId="1" xfId="12" applyNumberFormat="1" applyFont="1" applyFill="1" applyBorder="1" applyAlignment="1" applyProtection="1">
      <alignment horizontal="center" vertical="center" wrapText="1"/>
    </xf>
    <xf numFmtId="3" fontId="58" fillId="0" borderId="1" xfId="12" applyNumberFormat="1" applyFont="1" applyFill="1" applyBorder="1" applyAlignment="1" applyProtection="1">
      <alignment horizontal="center" vertical="center" wrapText="1"/>
    </xf>
    <xf numFmtId="3" fontId="57" fillId="0" borderId="1" xfId="1467" applyNumberFormat="1" applyFont="1" applyBorder="1" applyAlignment="1">
      <alignment horizontal="center" vertical="center"/>
    </xf>
    <xf numFmtId="3" fontId="59" fillId="0" borderId="1" xfId="1467" applyNumberFormat="1" applyFont="1" applyBorder="1" applyAlignment="1">
      <alignment horizontal="center" vertical="center"/>
    </xf>
    <xf numFmtId="9" fontId="59" fillId="0" borderId="1" xfId="12" applyFont="1" applyFill="1" applyBorder="1" applyAlignment="1" applyProtection="1">
      <alignment horizontal="center" vertical="center"/>
    </xf>
    <xf numFmtId="49" fontId="57" fillId="0" borderId="1" xfId="1467" applyNumberFormat="1" applyFont="1" applyBorder="1" applyAlignment="1">
      <alignment horizontal="center" vertical="center"/>
    </xf>
    <xf numFmtId="49" fontId="34" fillId="0" borderId="1" xfId="1467" applyNumberFormat="1" applyFont="1" applyBorder="1" applyAlignment="1">
      <alignment horizontal="left" vertical="center" wrapText="1"/>
    </xf>
    <xf numFmtId="3" fontId="34" fillId="0" borderId="0" xfId="1467" applyNumberFormat="1" applyFont="1" applyAlignment="1">
      <alignment horizontal="center" vertical="center"/>
    </xf>
    <xf numFmtId="3" fontId="58" fillId="0" borderId="0" xfId="1467" applyNumberFormat="1" applyFont="1" applyAlignment="1">
      <alignment horizontal="center" vertical="center"/>
    </xf>
    <xf numFmtId="9" fontId="58" fillId="0" borderId="0" xfId="12" applyFont="1" applyFill="1" applyBorder="1" applyAlignment="1" applyProtection="1">
      <alignment horizontal="center" vertical="center"/>
    </xf>
    <xf numFmtId="49" fontId="34" fillId="0" borderId="0" xfId="1467" applyNumberFormat="1" applyFont="1" applyAlignment="1">
      <alignment horizontal="center" vertical="center"/>
    </xf>
    <xf numFmtId="0" fontId="57" fillId="0" borderId="0" xfId="1467" applyFont="1" applyAlignment="1">
      <alignment horizontal="center"/>
    </xf>
    <xf numFmtId="168" fontId="34" fillId="0" borderId="0" xfId="1467" applyNumberFormat="1" applyFont="1" applyAlignment="1">
      <alignment horizontal="right" vertical="center"/>
    </xf>
    <xf numFmtId="168" fontId="62" fillId="0" borderId="0" xfId="1467" applyNumberFormat="1" applyFont="1" applyAlignment="1">
      <alignment horizontal="right" vertical="center"/>
    </xf>
    <xf numFmtId="0" fontId="62" fillId="0" borderId="0" xfId="1467" applyFont="1" applyAlignment="1">
      <alignment vertical="center"/>
    </xf>
    <xf numFmtId="168" fontId="62" fillId="0" borderId="0" xfId="1467" applyNumberFormat="1" applyFont="1" applyAlignment="1">
      <alignment vertical="center"/>
    </xf>
    <xf numFmtId="3" fontId="62" fillId="0" borderId="0" xfId="1467" applyNumberFormat="1" applyFont="1" applyAlignment="1">
      <alignment vertical="center"/>
    </xf>
    <xf numFmtId="3" fontId="39" fillId="0" borderId="0" xfId="0" applyNumberFormat="1" applyFont="1" applyAlignment="1">
      <alignment vertical="center"/>
    </xf>
    <xf numFmtId="3" fontId="63" fillId="0" borderId="0" xfId="0" applyNumberFormat="1" applyFont="1" applyAlignment="1">
      <alignment vertical="center"/>
    </xf>
    <xf numFmtId="0" fontId="63" fillId="0" borderId="0" xfId="0" applyFont="1" applyAlignment="1">
      <alignment vertical="center"/>
    </xf>
    <xf numFmtId="49" fontId="46" fillId="0" borderId="25" xfId="6" applyNumberFormat="1" applyFont="1" applyBorder="1" applyAlignment="1">
      <alignment horizontal="left" vertical="center"/>
    </xf>
    <xf numFmtId="49" fontId="47" fillId="0" borderId="1" xfId="6" applyNumberFormat="1" applyFont="1" applyBorder="1" applyAlignment="1">
      <alignment horizontal="right" vertical="center"/>
    </xf>
    <xf numFmtId="3" fontId="48" fillId="0" borderId="6" xfId="6" applyNumberFormat="1" applyFont="1" applyBorder="1" applyAlignment="1">
      <alignment horizontal="left" vertical="center" wrapText="1" indent="2"/>
    </xf>
    <xf numFmtId="3" fontId="47" fillId="0" borderId="6" xfId="6" applyNumberFormat="1" applyFont="1" applyBorder="1" applyAlignment="1" applyProtection="1">
      <alignment horizontal="right" vertical="center" wrapText="1"/>
      <protection locked="0"/>
    </xf>
    <xf numFmtId="3" fontId="47" fillId="0" borderId="6" xfId="6" applyNumberFormat="1" applyFont="1" applyBorder="1" applyAlignment="1">
      <alignment vertical="center" wrapText="1"/>
    </xf>
    <xf numFmtId="3" fontId="46" fillId="0" borderId="1" xfId="0" applyNumberFormat="1" applyFont="1" applyBorder="1" applyAlignment="1">
      <alignment horizontal="right" vertical="center" wrapText="1"/>
    </xf>
    <xf numFmtId="0" fontId="47" fillId="0" borderId="1" xfId="1" applyFont="1" applyBorder="1" applyAlignment="1">
      <alignment horizontal="center" vertical="center" wrapText="1"/>
    </xf>
    <xf numFmtId="0" fontId="47" fillId="0" borderId="0" xfId="1" applyFont="1" applyAlignment="1">
      <alignment vertical="center"/>
    </xf>
    <xf numFmtId="49" fontId="46" fillId="31" borderId="1" xfId="1" applyNumberFormat="1" applyFont="1" applyFill="1" applyBorder="1" applyAlignment="1">
      <alignment horizontal="center" vertical="center" wrapText="1"/>
    </xf>
    <xf numFmtId="0" fontId="46" fillId="31" borderId="1" xfId="1" applyFont="1" applyFill="1" applyBorder="1" applyAlignment="1">
      <alignment horizontal="center" vertical="center" wrapText="1"/>
    </xf>
    <xf numFmtId="0" fontId="47" fillId="0" borderId="0" xfId="1" applyFont="1" applyAlignment="1">
      <alignment vertical="center" wrapText="1"/>
    </xf>
    <xf numFmtId="49" fontId="46" fillId="28" borderId="1" xfId="5" applyNumberFormat="1" applyFont="1" applyFill="1" applyBorder="1" applyAlignment="1">
      <alignment horizontal="center" vertical="center" wrapText="1"/>
    </xf>
    <xf numFmtId="49" fontId="46" fillId="2" borderId="1" xfId="5" applyNumberFormat="1" applyFont="1" applyFill="1" applyBorder="1" applyAlignment="1">
      <alignment horizontal="center" vertical="center" wrapText="1"/>
    </xf>
    <xf numFmtId="3" fontId="46" fillId="2" borderId="1" xfId="6" applyNumberFormat="1" applyFont="1" applyFill="1" applyBorder="1" applyAlignment="1">
      <alignment vertical="center" wrapText="1"/>
    </xf>
    <xf numFmtId="49" fontId="47" fillId="2" borderId="1" xfId="5" applyNumberFormat="1" applyFont="1" applyFill="1" applyBorder="1" applyAlignment="1">
      <alignment horizontal="center" vertical="center" wrapText="1"/>
    </xf>
    <xf numFmtId="49" fontId="47" fillId="0" borderId="1" xfId="5" applyNumberFormat="1" applyFont="1" applyBorder="1" applyAlignment="1">
      <alignment horizontal="center" vertical="center" wrapText="1"/>
    </xf>
    <xf numFmtId="0" fontId="34" fillId="0" borderId="1" xfId="0" applyFont="1" applyBorder="1"/>
    <xf numFmtId="49" fontId="47" fillId="31" borderId="1" xfId="5" applyNumberFormat="1" applyFont="1" applyFill="1" applyBorder="1" applyAlignment="1">
      <alignment horizontal="center" vertical="center" wrapText="1"/>
    </xf>
    <xf numFmtId="49" fontId="46" fillId="28" borderId="1" xfId="1" applyNumberFormat="1" applyFont="1" applyFill="1" applyBorder="1" applyAlignment="1">
      <alignment horizontal="center" vertical="center" wrapText="1"/>
    </xf>
    <xf numFmtId="0" fontId="46" fillId="0" borderId="0" xfId="1" applyFont="1" applyAlignment="1">
      <alignment vertical="center" wrapText="1"/>
    </xf>
    <xf numFmtId="49" fontId="47" fillId="0" borderId="1" xfId="1" applyNumberFormat="1" applyFont="1" applyBorder="1" applyAlignment="1">
      <alignment horizontal="center" vertical="center" wrapText="1"/>
    </xf>
    <xf numFmtId="49" fontId="46" fillId="0" borderId="1" xfId="1" applyNumberFormat="1" applyFont="1" applyBorder="1" applyAlignment="1">
      <alignment horizontal="center" vertical="center" wrapText="1"/>
    </xf>
    <xf numFmtId="3" fontId="46" fillId="0" borderId="1" xfId="6" applyNumberFormat="1" applyFont="1" applyBorder="1" applyAlignment="1">
      <alignment vertical="center" wrapText="1"/>
    </xf>
    <xf numFmtId="0" fontId="46" fillId="28" borderId="1" xfId="1" applyFont="1" applyFill="1" applyBorder="1" applyAlignment="1">
      <alignment horizontal="left" vertical="center" wrapText="1"/>
    </xf>
    <xf numFmtId="49" fontId="47" fillId="0" borderId="0" xfId="1" applyNumberFormat="1" applyFont="1" applyAlignment="1">
      <alignment horizontal="center" vertical="center"/>
    </xf>
    <xf numFmtId="3" fontId="66" fillId="2" borderId="1" xfId="0" applyNumberFormat="1" applyFont="1" applyFill="1" applyBorder="1" applyAlignment="1" applyProtection="1">
      <alignment vertical="center" wrapText="1"/>
      <protection locked="0"/>
    </xf>
    <xf numFmtId="3" fontId="65" fillId="2" borderId="1" xfId="0" applyNumberFormat="1" applyFont="1" applyFill="1" applyBorder="1" applyAlignment="1" applyProtection="1">
      <alignment vertical="center" wrapText="1"/>
      <protection locked="0"/>
    </xf>
    <xf numFmtId="3" fontId="65" fillId="0" borderId="1" xfId="0" applyNumberFormat="1" applyFont="1" applyBorder="1" applyAlignment="1" applyProtection="1">
      <alignment vertical="center" wrapText="1"/>
      <protection locked="0"/>
    </xf>
    <xf numFmtId="3" fontId="66" fillId="28" borderId="1" xfId="1" applyNumberFormat="1" applyFont="1" applyFill="1" applyBorder="1" applyAlignment="1">
      <alignment vertical="center" wrapText="1"/>
    </xf>
    <xf numFmtId="3" fontId="65" fillId="0" borderId="1" xfId="1" applyNumberFormat="1" applyFont="1" applyBorder="1" applyAlignment="1">
      <alignment vertical="center" wrapText="1"/>
    </xf>
    <xf numFmtId="0" fontId="47" fillId="0" borderId="0" xfId="0" applyFont="1" applyAlignment="1" applyProtection="1">
      <alignment vertical="center" wrapText="1"/>
      <protection locked="0"/>
    </xf>
    <xf numFmtId="3" fontId="66" fillId="0" borderId="1" xfId="1" applyNumberFormat="1" applyFont="1" applyBorder="1" applyAlignment="1">
      <alignment vertical="center" wrapText="1"/>
    </xf>
    <xf numFmtId="2" fontId="46" fillId="2" borderId="1" xfId="0" applyNumberFormat="1" applyFont="1" applyFill="1" applyBorder="1" applyAlignment="1" applyProtection="1">
      <alignment horizontal="right" vertical="center" wrapText="1"/>
      <protection locked="0"/>
    </xf>
    <xf numFmtId="3" fontId="48" fillId="28" borderId="1" xfId="6" applyNumberFormat="1" applyFont="1" applyFill="1" applyBorder="1" applyAlignment="1" applyProtection="1">
      <alignment horizontal="center" vertical="center"/>
      <protection locked="0"/>
    </xf>
    <xf numFmtId="2" fontId="47" fillId="0" borderId="1" xfId="0" applyNumberFormat="1" applyFont="1" applyBorder="1" applyAlignment="1" applyProtection="1">
      <alignment horizontal="right" vertical="center" wrapText="1"/>
      <protection locked="0"/>
    </xf>
    <xf numFmtId="0" fontId="46" fillId="0" borderId="1" xfId="6" applyFont="1" applyBorder="1" applyAlignment="1">
      <alignment horizontal="center" vertical="center" wrapText="1"/>
    </xf>
    <xf numFmtId="0" fontId="46" fillId="0" borderId="0" xfId="6" applyFont="1" applyAlignment="1">
      <alignment horizontal="center" vertical="center" wrapText="1"/>
    </xf>
    <xf numFmtId="49" fontId="46" fillId="0" borderId="0" xfId="6" applyNumberFormat="1" applyFont="1" applyAlignment="1">
      <alignment horizontal="left" vertical="center" wrapText="1"/>
    </xf>
    <xf numFmtId="3" fontId="46" fillId="0" borderId="0" xfId="6" applyNumberFormat="1" applyFont="1" applyAlignment="1" applyProtection="1">
      <alignment horizontal="right" vertical="center" wrapText="1"/>
      <protection locked="0"/>
    </xf>
    <xf numFmtId="3" fontId="46" fillId="0" borderId="1" xfId="6" applyNumberFormat="1" applyFont="1" applyBorder="1" applyAlignment="1">
      <alignment horizontal="right" vertical="center" wrapText="1"/>
    </xf>
    <xf numFmtId="0" fontId="47" fillId="0" borderId="1" xfId="1" applyFont="1" applyBorder="1" applyAlignment="1">
      <alignment vertical="center" wrapText="1"/>
    </xf>
    <xf numFmtId="1" fontId="65" fillId="0" borderId="1" xfId="0" applyNumberFormat="1" applyFont="1" applyBorder="1"/>
    <xf numFmtId="0" fontId="34" fillId="0" borderId="0" xfId="1" applyFont="1" applyAlignment="1">
      <alignment vertical="center" wrapText="1"/>
    </xf>
    <xf numFmtId="49" fontId="47" fillId="0" borderId="6" xfId="1" applyNumberFormat="1" applyFont="1" applyBorder="1" applyAlignment="1">
      <alignment horizontal="center" vertical="center" wrapText="1"/>
    </xf>
    <xf numFmtId="49" fontId="34" fillId="0" borderId="1" xfId="1467" applyNumberFormat="1" applyFont="1" applyBorder="1" applyAlignment="1" applyProtection="1">
      <alignment horizontal="center" vertical="center" wrapText="1"/>
      <protection locked="0"/>
    </xf>
    <xf numFmtId="3" fontId="46" fillId="30" borderId="1" xfId="0" applyNumberFormat="1" applyFont="1" applyFill="1" applyBorder="1" applyAlignment="1">
      <alignment horizontal="right" vertical="center"/>
    </xf>
    <xf numFmtId="3" fontId="46" fillId="30" borderId="1" xfId="0" applyNumberFormat="1" applyFont="1" applyFill="1" applyBorder="1" applyAlignment="1">
      <alignment horizontal="center" vertical="center"/>
    </xf>
    <xf numFmtId="0" fontId="65" fillId="0" borderId="0" xfId="0" applyFont="1" applyAlignment="1" applyProtection="1">
      <alignment vertical="center"/>
      <protection locked="0"/>
    </xf>
    <xf numFmtId="9" fontId="51" fillId="0" borderId="1" xfId="12" applyFont="1" applyFill="1" applyBorder="1" applyAlignment="1" applyProtection="1">
      <alignment horizontal="center" vertical="center"/>
    </xf>
    <xf numFmtId="3" fontId="47" fillId="0" borderId="1" xfId="0" applyNumberFormat="1" applyFont="1" applyBorder="1" applyAlignment="1">
      <alignment horizontal="center" vertical="center"/>
    </xf>
    <xf numFmtId="9" fontId="51" fillId="32" borderId="1" xfId="12" applyFont="1" applyFill="1" applyBorder="1" applyAlignment="1" applyProtection="1">
      <alignment horizontal="center" vertical="center"/>
    </xf>
    <xf numFmtId="0" fontId="47" fillId="33" borderId="6" xfId="0" applyFont="1" applyFill="1" applyBorder="1" applyAlignment="1">
      <alignment wrapText="1"/>
    </xf>
    <xf numFmtId="0" fontId="47" fillId="0" borderId="1" xfId="0" applyFont="1" applyBorder="1" applyAlignment="1">
      <alignment wrapText="1"/>
    </xf>
    <xf numFmtId="0" fontId="46" fillId="33" borderId="1" xfId="0" applyFont="1" applyFill="1" applyBorder="1" applyAlignment="1">
      <alignment wrapText="1"/>
    </xf>
    <xf numFmtId="49" fontId="47" fillId="2" borderId="5" xfId="5" applyNumberFormat="1" applyFont="1" applyFill="1" applyBorder="1" applyAlignment="1">
      <alignment horizontal="center" vertical="center" wrapText="1"/>
    </xf>
    <xf numFmtId="3" fontId="46" fillId="2" borderId="4" xfId="6" applyNumberFormat="1" applyFont="1" applyFill="1" applyBorder="1" applyAlignment="1">
      <alignment vertical="center" wrapText="1"/>
    </xf>
    <xf numFmtId="3" fontId="34" fillId="2" borderId="6" xfId="6" applyNumberFormat="1" applyFont="1" applyFill="1" applyBorder="1" applyAlignment="1">
      <alignment vertical="center" wrapText="1"/>
    </xf>
    <xf numFmtId="49" fontId="47" fillId="0" borderId="5" xfId="1" applyNumberFormat="1" applyFont="1" applyBorder="1" applyAlignment="1">
      <alignment horizontal="center" vertical="center" wrapText="1"/>
    </xf>
    <xf numFmtId="1" fontId="47" fillId="0" borderId="1" xfId="0" applyNumberFormat="1" applyFont="1" applyBorder="1" applyAlignment="1">
      <alignment horizontal="right" vertical="center" wrapText="1"/>
    </xf>
    <xf numFmtId="3" fontId="69" fillId="2" borderId="1" xfId="0" applyNumberFormat="1" applyFont="1" applyFill="1" applyBorder="1" applyAlignment="1" applyProtection="1">
      <alignment horizontal="right" vertical="center"/>
      <protection locked="0"/>
    </xf>
    <xf numFmtId="3" fontId="69" fillId="2" borderId="1" xfId="6" applyNumberFormat="1" applyFont="1" applyFill="1" applyBorder="1" applyAlignment="1" applyProtection="1">
      <alignment horizontal="right" vertical="center"/>
      <protection locked="0"/>
    </xf>
    <xf numFmtId="3" fontId="72" fillId="28" borderId="1" xfId="1" applyNumberFormat="1" applyFont="1" applyFill="1" applyBorder="1" applyAlignment="1">
      <alignment horizontal="right" vertical="center"/>
    </xf>
    <xf numFmtId="1" fontId="69" fillId="2" borderId="1" xfId="0" applyNumberFormat="1" applyFont="1" applyFill="1" applyBorder="1" applyAlignment="1" applyProtection="1">
      <alignment horizontal="right" vertical="center" wrapText="1"/>
      <protection locked="0"/>
    </xf>
    <xf numFmtId="3" fontId="69" fillId="2" borderId="1" xfId="0" applyNumberFormat="1" applyFont="1" applyFill="1" applyBorder="1" applyAlignment="1" applyProtection="1">
      <alignment horizontal="right" vertical="center" wrapText="1"/>
      <protection locked="0"/>
    </xf>
    <xf numFmtId="3" fontId="73" fillId="2" borderId="1" xfId="0" applyNumberFormat="1" applyFont="1" applyFill="1" applyBorder="1" applyAlignment="1">
      <alignment horizontal="center" vertical="center" wrapText="1"/>
    </xf>
    <xf numFmtId="166" fontId="73" fillId="2" borderId="1" xfId="12" applyNumberFormat="1" applyFont="1" applyFill="1" applyBorder="1" applyAlignment="1" applyProtection="1">
      <alignment horizontal="center" vertical="center" wrapText="1"/>
    </xf>
    <xf numFmtId="3" fontId="69" fillId="0" borderId="1" xfId="6" applyNumberFormat="1" applyFont="1" applyBorder="1" applyAlignment="1">
      <alignment horizontal="right" vertical="center" wrapText="1"/>
    </xf>
    <xf numFmtId="3" fontId="72" fillId="0" borderId="1" xfId="6" applyNumberFormat="1" applyFont="1" applyBorder="1" applyAlignment="1">
      <alignment horizontal="right" vertical="center" wrapText="1"/>
    </xf>
    <xf numFmtId="3" fontId="69" fillId="0" borderId="1" xfId="0" applyNumberFormat="1" applyFont="1" applyBorder="1" applyAlignment="1">
      <alignment horizontal="center" vertical="center" wrapText="1"/>
    </xf>
    <xf numFmtId="3" fontId="72" fillId="28" borderId="1" xfId="6" applyNumberFormat="1" applyFont="1" applyFill="1" applyBorder="1" applyAlignment="1">
      <alignment horizontal="right" vertical="center" wrapText="1"/>
    </xf>
    <xf numFmtId="3" fontId="69" fillId="0" borderId="1" xfId="6" applyNumberFormat="1" applyFont="1" applyBorder="1" applyAlignment="1" applyProtection="1">
      <alignment horizontal="right" vertical="center"/>
      <protection locked="0"/>
    </xf>
    <xf numFmtId="3" fontId="74" fillId="28" borderId="1" xfId="6" applyNumberFormat="1" applyFont="1" applyFill="1" applyBorder="1" applyAlignment="1">
      <alignment horizontal="right" vertical="center"/>
    </xf>
    <xf numFmtId="0" fontId="69" fillId="0" borderId="0" xfId="6" applyFont="1"/>
    <xf numFmtId="0" fontId="69" fillId="0" borderId="1" xfId="1" applyFont="1" applyBorder="1" applyAlignment="1">
      <alignment horizontal="center" vertical="center" wrapText="1"/>
    </xf>
    <xf numFmtId="0" fontId="69" fillId="0" borderId="1" xfId="1" applyFont="1" applyBorder="1" applyAlignment="1">
      <alignment horizontal="center" vertical="center"/>
    </xf>
    <xf numFmtId="0" fontId="69" fillId="0" borderId="0" xfId="1" applyFont="1" applyAlignment="1">
      <alignment vertical="center"/>
    </xf>
    <xf numFmtId="0" fontId="48" fillId="0" borderId="1" xfId="0" applyFont="1" applyBorder="1" applyAlignment="1">
      <alignment wrapText="1"/>
    </xf>
    <xf numFmtId="49" fontId="47" fillId="0" borderId="1" xfId="6" applyNumberFormat="1" applyFont="1" applyBorder="1" applyAlignment="1" applyProtection="1">
      <alignment horizontal="left" vertical="center" wrapText="1"/>
      <protection locked="0"/>
    </xf>
    <xf numFmtId="3" fontId="48" fillId="0" borderId="1" xfId="0" applyNumberFormat="1" applyFont="1" applyBorder="1" applyAlignment="1">
      <alignment horizontal="center" vertical="center"/>
    </xf>
    <xf numFmtId="3" fontId="69" fillId="0" borderId="1" xfId="6" applyNumberFormat="1" applyFont="1" applyBorder="1" applyAlignment="1" applyProtection="1">
      <alignment horizontal="right" vertical="center" wrapText="1"/>
      <protection locked="0"/>
    </xf>
    <xf numFmtId="3" fontId="72" fillId="28" borderId="1" xfId="6" applyNumberFormat="1" applyFont="1" applyFill="1" applyBorder="1" applyAlignment="1">
      <alignment horizontal="right" vertical="center"/>
    </xf>
    <xf numFmtId="3" fontId="69" fillId="0" borderId="0" xfId="6" applyNumberFormat="1" applyFont="1"/>
    <xf numFmtId="0" fontId="69" fillId="0" borderId="0" xfId="6" applyFont="1" applyAlignment="1">
      <alignment horizontal="left" vertical="center" wrapText="1"/>
    </xf>
    <xf numFmtId="3" fontId="34" fillId="2" borderId="1" xfId="6" applyNumberFormat="1" applyFont="1" applyFill="1" applyBorder="1" applyAlignment="1">
      <alignment vertical="center" wrapText="1"/>
    </xf>
    <xf numFmtId="0" fontId="34" fillId="0" borderId="0" xfId="1467" applyFont="1" applyAlignment="1">
      <alignment horizontal="left" vertical="top" wrapText="1"/>
    </xf>
    <xf numFmtId="0" fontId="34" fillId="0" borderId="0" xfId="1467" applyFont="1" applyAlignment="1">
      <alignment vertical="center" wrapText="1"/>
    </xf>
    <xf numFmtId="0" fontId="47" fillId="0" borderId="0" xfId="0" applyFont="1" applyAlignment="1">
      <alignment horizontal="left" vertical="center" wrapText="1"/>
    </xf>
    <xf numFmtId="0" fontId="47" fillId="0" borderId="0" xfId="0" applyFont="1" applyAlignment="1">
      <alignment horizontal="left" vertical="top"/>
    </xf>
    <xf numFmtId="168" fontId="39" fillId="0" borderId="0" xfId="0" applyNumberFormat="1" applyFont="1" applyAlignment="1">
      <alignment vertical="center"/>
    </xf>
    <xf numFmtId="0" fontId="69" fillId="2" borderId="1" xfId="1" applyFont="1" applyFill="1" applyBorder="1" applyAlignment="1">
      <alignment horizontal="right" vertical="center"/>
    </xf>
    <xf numFmtId="3" fontId="69" fillId="2" borderId="1" xfId="6" applyNumberFormat="1" applyFont="1" applyFill="1" applyBorder="1" applyAlignment="1">
      <alignment horizontal="left" vertical="center" wrapText="1"/>
    </xf>
    <xf numFmtId="3" fontId="69" fillId="2" borderId="1" xfId="1" applyNumberFormat="1" applyFont="1" applyFill="1" applyBorder="1" applyAlignment="1" applyProtection="1">
      <alignment horizontal="right" vertical="center"/>
      <protection locked="0"/>
    </xf>
    <xf numFmtId="3" fontId="69" fillId="0" borderId="1" xfId="1" applyNumberFormat="1" applyFont="1" applyBorder="1" applyAlignment="1" applyProtection="1">
      <alignment horizontal="right" vertical="center"/>
      <protection locked="0"/>
    </xf>
    <xf numFmtId="3" fontId="73" fillId="2" borderId="1" xfId="1" applyNumberFormat="1" applyFont="1" applyFill="1" applyBorder="1" applyAlignment="1" applyProtection="1">
      <alignment horizontal="center" vertical="center"/>
      <protection locked="0"/>
    </xf>
    <xf numFmtId="9" fontId="73" fillId="2" borderId="1" xfId="12" applyFont="1" applyFill="1" applyBorder="1" applyAlignment="1" applyProtection="1">
      <alignment horizontal="center" vertical="center"/>
      <protection locked="0"/>
    </xf>
    <xf numFmtId="3" fontId="73" fillId="0" borderId="1" xfId="1" applyNumberFormat="1" applyFont="1" applyBorder="1" applyAlignment="1" applyProtection="1">
      <alignment horizontal="center" vertical="center"/>
      <protection locked="0"/>
    </xf>
    <xf numFmtId="9" fontId="73" fillId="0" borderId="1" xfId="12" applyFont="1" applyFill="1" applyBorder="1" applyAlignment="1" applyProtection="1">
      <alignment horizontal="center" vertical="center"/>
      <protection locked="0"/>
    </xf>
    <xf numFmtId="0" fontId="69" fillId="0" borderId="0" xfId="0" applyFont="1" applyAlignment="1" applyProtection="1">
      <alignment vertical="center"/>
      <protection locked="0"/>
    </xf>
    <xf numFmtId="3" fontId="46" fillId="28" borderId="31" xfId="6" applyNumberFormat="1" applyFont="1" applyFill="1" applyBorder="1" applyAlignment="1">
      <alignment horizontal="right" vertical="center" wrapText="1"/>
    </xf>
    <xf numFmtId="9" fontId="51" fillId="28" borderId="31" xfId="12" applyFont="1" applyFill="1" applyBorder="1" applyAlignment="1" applyProtection="1">
      <alignment horizontal="center" vertical="center"/>
    </xf>
    <xf numFmtId="3" fontId="46" fillId="28" borderId="32" xfId="6" applyNumberFormat="1" applyFont="1" applyFill="1" applyBorder="1" applyAlignment="1">
      <alignment horizontal="right" vertical="center" wrapText="1"/>
    </xf>
    <xf numFmtId="3" fontId="51" fillId="28" borderId="32" xfId="6" applyNumberFormat="1" applyFont="1" applyFill="1" applyBorder="1" applyAlignment="1">
      <alignment horizontal="center" vertical="center" wrapText="1"/>
    </xf>
    <xf numFmtId="9" fontId="51" fillId="28" borderId="32" xfId="12" applyFont="1" applyFill="1" applyBorder="1" applyAlignment="1" applyProtection="1">
      <alignment horizontal="center" vertical="center" wrapText="1"/>
    </xf>
    <xf numFmtId="49" fontId="46" fillId="28" borderId="33" xfId="6" applyNumberFormat="1" applyFont="1" applyFill="1" applyBorder="1" applyAlignment="1">
      <alignment horizontal="left" vertical="center" wrapText="1"/>
    </xf>
    <xf numFmtId="3" fontId="47" fillId="0" borderId="6" xfId="6" applyNumberFormat="1" applyFont="1" applyBorder="1" applyAlignment="1" applyProtection="1">
      <alignment horizontal="right" vertical="center"/>
      <protection locked="0"/>
    </xf>
    <xf numFmtId="3" fontId="48" fillId="0" borderId="6" xfId="6" applyNumberFormat="1" applyFont="1" applyBorder="1" applyAlignment="1" applyProtection="1">
      <alignment horizontal="center" vertical="center"/>
      <protection locked="0"/>
    </xf>
    <xf numFmtId="9" fontId="48" fillId="0" borderId="6" xfId="12" applyFont="1" applyFill="1" applyBorder="1" applyAlignment="1" applyProtection="1">
      <alignment horizontal="center" vertical="center"/>
      <protection locked="0"/>
    </xf>
    <xf numFmtId="49" fontId="46" fillId="0" borderId="6" xfId="6" applyNumberFormat="1" applyFont="1" applyBorder="1" applyAlignment="1" applyProtection="1">
      <alignment horizontal="left" vertical="center"/>
      <protection locked="0"/>
    </xf>
    <xf numFmtId="0" fontId="46" fillId="34" borderId="6" xfId="0" applyFont="1" applyFill="1" applyBorder="1"/>
    <xf numFmtId="0" fontId="46" fillId="35" borderId="6" xfId="0" applyFont="1" applyFill="1" applyBorder="1"/>
    <xf numFmtId="0" fontId="47" fillId="33" borderId="6" xfId="0" applyFont="1" applyFill="1" applyBorder="1"/>
    <xf numFmtId="0" fontId="47" fillId="0" borderId="2" xfId="0" applyFont="1" applyBorder="1" applyAlignment="1">
      <alignment wrapText="1"/>
    </xf>
    <xf numFmtId="0" fontId="47" fillId="0" borderId="6" xfId="0" applyFont="1" applyBorder="1"/>
    <xf numFmtId="0" fontId="47" fillId="0" borderId="0" xfId="0" applyFont="1"/>
    <xf numFmtId="0" fontId="47" fillId="0" borderId="0" xfId="0" applyFont="1" applyAlignment="1">
      <alignment wrapText="1"/>
    </xf>
    <xf numFmtId="0" fontId="47" fillId="0" borderId="1" xfId="0" applyFont="1" applyBorder="1" applyAlignment="1">
      <alignment horizontal="center" wrapText="1"/>
    </xf>
    <xf numFmtId="0" fontId="47" fillId="0" borderId="6" xfId="0" applyFont="1" applyBorder="1" applyAlignment="1">
      <alignment horizontal="center" wrapText="1"/>
    </xf>
    <xf numFmtId="49" fontId="34" fillId="0" borderId="1" xfId="1467" applyNumberFormat="1" applyFont="1" applyBorder="1" applyAlignment="1">
      <alignment horizontal="center" vertical="center"/>
    </xf>
    <xf numFmtId="1" fontId="47" fillId="0" borderId="2" xfId="0" applyNumberFormat="1" applyFont="1" applyBorder="1" applyAlignment="1">
      <alignment wrapText="1"/>
    </xf>
    <xf numFmtId="0" fontId="46" fillId="35" borderId="6" xfId="0" applyFont="1" applyFill="1" applyBorder="1" applyAlignment="1">
      <alignment horizontal="right" wrapText="1"/>
    </xf>
    <xf numFmtId="3" fontId="51" fillId="28" borderId="1" xfId="6" applyNumberFormat="1" applyFont="1" applyFill="1" applyBorder="1" applyAlignment="1">
      <alignment horizontal="right" vertical="center" wrapText="1"/>
    </xf>
    <xf numFmtId="9" fontId="51" fillId="28" borderId="1" xfId="12" applyFont="1" applyFill="1" applyBorder="1" applyAlignment="1" applyProtection="1">
      <alignment horizontal="right" vertical="center" wrapText="1"/>
    </xf>
    <xf numFmtId="49" fontId="51" fillId="28" borderId="1" xfId="12" applyNumberFormat="1" applyFont="1" applyFill="1" applyBorder="1" applyAlignment="1" applyProtection="1">
      <alignment horizontal="right" vertical="center" wrapText="1"/>
    </xf>
    <xf numFmtId="0" fontId="47" fillId="33" borderId="6" xfId="0" applyFont="1" applyFill="1" applyBorder="1" applyAlignment="1">
      <alignment horizontal="right"/>
    </xf>
    <xf numFmtId="3" fontId="48" fillId="2" borderId="1" xfId="0" applyNumberFormat="1" applyFont="1" applyFill="1" applyBorder="1" applyAlignment="1" applyProtection="1">
      <alignment horizontal="right" vertical="center"/>
      <protection locked="0"/>
    </xf>
    <xf numFmtId="9" fontId="48" fillId="2" borderId="1" xfId="12" applyFont="1" applyFill="1" applyBorder="1" applyAlignment="1" applyProtection="1">
      <alignment horizontal="right" vertical="center"/>
    </xf>
    <xf numFmtId="49" fontId="48" fillId="2" borderId="1" xfId="12" applyNumberFormat="1" applyFont="1" applyFill="1" applyBorder="1" applyAlignment="1" applyProtection="1">
      <alignment horizontal="right" vertical="center"/>
    </xf>
    <xf numFmtId="3" fontId="48" fillId="2" borderId="1" xfId="6" applyNumberFormat="1" applyFont="1" applyFill="1" applyBorder="1" applyAlignment="1" applyProtection="1">
      <alignment horizontal="right" vertical="center"/>
      <protection locked="0"/>
    </xf>
    <xf numFmtId="0" fontId="46" fillId="35" borderId="1" xfId="0" applyFont="1" applyFill="1" applyBorder="1" applyAlignment="1">
      <alignment horizontal="right" wrapText="1"/>
    </xf>
    <xf numFmtId="0" fontId="47" fillId="0" borderId="6" xfId="0" applyFont="1" applyBorder="1" applyAlignment="1">
      <alignment horizontal="right"/>
    </xf>
    <xf numFmtId="0" fontId="47" fillId="0" borderId="6" xfId="0" applyFont="1" applyBorder="1" applyAlignment="1">
      <alignment horizontal="right" wrapText="1"/>
    </xf>
    <xf numFmtId="0" fontId="47" fillId="0" borderId="1" xfId="0" applyFont="1" applyBorder="1" applyAlignment="1">
      <alignment horizontal="right" wrapText="1"/>
    </xf>
    <xf numFmtId="3" fontId="48" fillId="0" borderId="1" xfId="6" applyNumberFormat="1" applyFont="1" applyBorder="1" applyAlignment="1" applyProtection="1">
      <alignment horizontal="right" vertical="center"/>
      <protection locked="0"/>
    </xf>
    <xf numFmtId="9" fontId="48" fillId="0" borderId="1" xfId="12" applyFont="1" applyFill="1" applyBorder="1" applyAlignment="1" applyProtection="1">
      <alignment horizontal="right" vertical="center"/>
    </xf>
    <xf numFmtId="49" fontId="48" fillId="0" borderId="1" xfId="12" applyNumberFormat="1" applyFont="1" applyFill="1" applyBorder="1" applyAlignment="1" applyProtection="1">
      <alignment horizontal="right" vertical="center"/>
    </xf>
    <xf numFmtId="49" fontId="48" fillId="0" borderId="1" xfId="12" applyNumberFormat="1" applyFont="1" applyFill="1" applyBorder="1" applyAlignment="1" applyProtection="1">
      <alignment horizontal="right" vertical="center" wrapText="1"/>
    </xf>
    <xf numFmtId="49" fontId="47" fillId="0" borderId="1" xfId="0" applyNumberFormat="1" applyFont="1" applyBorder="1" applyAlignment="1">
      <alignment horizontal="right" vertical="center"/>
    </xf>
    <xf numFmtId="1" fontId="47" fillId="0" borderId="6" xfId="0" applyNumberFormat="1" applyFont="1" applyBorder="1" applyAlignment="1">
      <alignment horizontal="right"/>
    </xf>
    <xf numFmtId="0" fontId="77" fillId="0" borderId="0" xfId="0" applyFont="1"/>
    <xf numFmtId="0" fontId="76" fillId="0" borderId="0" xfId="0" applyFont="1"/>
    <xf numFmtId="168" fontId="68" fillId="0" borderId="1" xfId="0" applyNumberFormat="1" applyFont="1" applyBorder="1" applyAlignment="1">
      <alignment horizontal="center" vertical="center" wrapText="1"/>
    </xf>
    <xf numFmtId="3" fontId="68" fillId="0" borderId="1" xfId="1467" applyNumberFormat="1" applyFont="1" applyBorder="1" applyAlignment="1" applyProtection="1">
      <alignment horizontal="center" vertical="center"/>
      <protection locked="0"/>
    </xf>
    <xf numFmtId="3" fontId="68" fillId="0" borderId="1" xfId="0" applyNumberFormat="1" applyFont="1" applyBorder="1" applyAlignment="1">
      <alignment horizontal="center" vertical="center" wrapText="1"/>
    </xf>
    <xf numFmtId="3" fontId="74" fillId="0" borderId="1" xfId="1467" applyNumberFormat="1" applyFont="1" applyBorder="1" applyAlignment="1">
      <alignment horizontal="center" vertical="center"/>
    </xf>
    <xf numFmtId="3" fontId="68" fillId="0" borderId="0" xfId="1467" applyNumberFormat="1" applyFont="1" applyAlignment="1">
      <alignment horizontal="center" vertical="center"/>
    </xf>
    <xf numFmtId="168" fontId="68" fillId="0" borderId="0" xfId="1467" applyNumberFormat="1" applyFont="1" applyAlignment="1">
      <alignment horizontal="right" vertical="center"/>
    </xf>
    <xf numFmtId="0" fontId="78" fillId="0" borderId="0" xfId="1467" applyFont="1" applyAlignment="1">
      <alignment vertical="center"/>
    </xf>
    <xf numFmtId="0" fontId="79" fillId="0" borderId="0" xfId="1467" applyFont="1" applyAlignment="1" applyProtection="1">
      <alignment vertical="center"/>
      <protection locked="0"/>
    </xf>
    <xf numFmtId="0" fontId="78" fillId="0" borderId="0" xfId="0" applyFont="1" applyAlignment="1">
      <alignment vertical="center"/>
    </xf>
    <xf numFmtId="3" fontId="57" fillId="29" borderId="1" xfId="1467" applyNumberFormat="1" applyFont="1" applyFill="1" applyBorder="1" applyAlignment="1">
      <alignment horizontal="center" vertical="center"/>
    </xf>
    <xf numFmtId="3" fontId="74" fillId="29" borderId="1" xfId="1467" applyNumberFormat="1" applyFont="1" applyFill="1" applyBorder="1" applyAlignment="1">
      <alignment horizontal="center" vertical="center"/>
    </xf>
    <xf numFmtId="3" fontId="59" fillId="29" borderId="1" xfId="1467" applyNumberFormat="1" applyFont="1" applyFill="1" applyBorder="1" applyAlignment="1">
      <alignment horizontal="center" vertical="center"/>
    </xf>
    <xf numFmtId="9" fontId="59" fillId="29" borderId="1" xfId="12" applyFont="1" applyFill="1" applyBorder="1" applyAlignment="1" applyProtection="1">
      <alignment horizontal="center" vertical="center"/>
    </xf>
    <xf numFmtId="49" fontId="34" fillId="29" borderId="1" xfId="1467" applyNumberFormat="1" applyFont="1" applyFill="1" applyBorder="1" applyAlignment="1">
      <alignment horizontal="center" vertical="center" wrapText="1"/>
    </xf>
    <xf numFmtId="49" fontId="57" fillId="29" borderId="1" xfId="1467" applyNumberFormat="1" applyFont="1" applyFill="1" applyBorder="1" applyAlignment="1">
      <alignment horizontal="center" vertical="center"/>
    </xf>
    <xf numFmtId="0" fontId="57" fillId="29" borderId="1" xfId="1467" applyFont="1" applyFill="1" applyBorder="1" applyAlignment="1">
      <alignment horizontal="center" vertical="center"/>
    </xf>
    <xf numFmtId="0" fontId="57" fillId="29" borderId="1" xfId="1467" applyFont="1" applyFill="1" applyBorder="1" applyAlignment="1">
      <alignment vertical="center" wrapText="1"/>
    </xf>
    <xf numFmtId="3" fontId="57" fillId="29" borderId="1" xfId="1467" applyNumberFormat="1" applyFont="1" applyFill="1" applyBorder="1" applyAlignment="1" applyProtection="1">
      <alignment horizontal="center" vertical="center"/>
      <protection locked="0"/>
    </xf>
    <xf numFmtId="3" fontId="74" fillId="29" borderId="1" xfId="1467" applyNumberFormat="1" applyFont="1" applyFill="1" applyBorder="1" applyAlignment="1" applyProtection="1">
      <alignment horizontal="center" vertical="center"/>
      <protection locked="0"/>
    </xf>
    <xf numFmtId="9" fontId="58" fillId="29" borderId="1" xfId="12" applyFont="1" applyFill="1" applyBorder="1" applyAlignment="1" applyProtection="1">
      <alignment horizontal="center" vertical="center"/>
      <protection locked="0"/>
    </xf>
    <xf numFmtId="3" fontId="34" fillId="29" borderId="1" xfId="1467" applyNumberFormat="1" applyFont="1" applyFill="1" applyBorder="1" applyAlignment="1" applyProtection="1">
      <alignment horizontal="center" vertical="center"/>
      <protection locked="0"/>
    </xf>
    <xf numFmtId="3" fontId="34" fillId="29" borderId="1" xfId="1467" applyNumberFormat="1" applyFont="1" applyFill="1" applyBorder="1" applyAlignment="1">
      <alignment horizontal="center" vertical="center"/>
    </xf>
    <xf numFmtId="0" fontId="46" fillId="36" borderId="1" xfId="1" applyFont="1" applyFill="1" applyBorder="1" applyAlignment="1">
      <alignment horizontal="center" vertical="center"/>
    </xf>
    <xf numFmtId="3" fontId="46" fillId="36" borderId="1" xfId="6" applyNumberFormat="1" applyFont="1" applyFill="1" applyBorder="1" applyAlignment="1">
      <alignment horizontal="left" vertical="center" wrapText="1"/>
    </xf>
    <xf numFmtId="0" fontId="46" fillId="36" borderId="1" xfId="1" applyFont="1" applyFill="1" applyBorder="1" applyAlignment="1">
      <alignment horizontal="left" vertical="center"/>
    </xf>
    <xf numFmtId="3" fontId="72" fillId="36" borderId="1" xfId="1" applyNumberFormat="1" applyFont="1" applyFill="1" applyBorder="1" applyAlignment="1">
      <alignment horizontal="right" vertical="center"/>
    </xf>
    <xf numFmtId="0" fontId="46" fillId="32" borderId="1" xfId="1" applyFont="1" applyFill="1" applyBorder="1" applyAlignment="1">
      <alignment horizontal="left" vertical="center"/>
    </xf>
    <xf numFmtId="3" fontId="73" fillId="3" borderId="1" xfId="0" applyNumberFormat="1" applyFont="1" applyFill="1" applyBorder="1" applyAlignment="1">
      <alignment horizontal="center" vertical="center" wrapText="1"/>
    </xf>
    <xf numFmtId="166" fontId="73" fillId="3" borderId="1" xfId="12" applyNumberFormat="1" applyFont="1" applyFill="1" applyBorder="1" applyAlignment="1" applyProtection="1">
      <alignment horizontal="center" vertical="center" wrapText="1"/>
    </xf>
    <xf numFmtId="0" fontId="69" fillId="0" borderId="0" xfId="0" applyFont="1" applyAlignment="1">
      <alignment vertical="center"/>
    </xf>
    <xf numFmtId="3" fontId="73" fillId="3" borderId="1" xfId="12" applyNumberFormat="1" applyFont="1" applyFill="1" applyBorder="1" applyAlignment="1" applyProtection="1">
      <alignment horizontal="center" vertical="center" wrapText="1"/>
    </xf>
    <xf numFmtId="3" fontId="81" fillId="36" borderId="1" xfId="1" applyNumberFormat="1" applyFont="1" applyFill="1" applyBorder="1" applyAlignment="1">
      <alignment horizontal="center" vertical="center"/>
    </xf>
    <xf numFmtId="9" fontId="81" fillId="36" borderId="1" xfId="12" applyFont="1" applyFill="1" applyBorder="1" applyAlignment="1" applyProtection="1">
      <alignment horizontal="center" vertical="center"/>
    </xf>
    <xf numFmtId="49" fontId="72" fillId="36" borderId="25" xfId="1" applyNumberFormat="1" applyFont="1" applyFill="1" applyBorder="1" applyAlignment="1">
      <alignment horizontal="left" vertical="center"/>
    </xf>
    <xf numFmtId="49" fontId="69" fillId="36" borderId="25" xfId="1" applyNumberFormat="1" applyFont="1" applyFill="1" applyBorder="1" applyAlignment="1">
      <alignment horizontal="left" vertical="center"/>
    </xf>
    <xf numFmtId="3" fontId="72" fillId="31" borderId="1" xfId="1" applyNumberFormat="1" applyFont="1" applyFill="1" applyBorder="1" applyAlignment="1">
      <alignment horizontal="right" vertical="center"/>
    </xf>
    <xf numFmtId="3" fontId="81" fillId="31" borderId="1" xfId="1" applyNumberFormat="1" applyFont="1" applyFill="1" applyBorder="1" applyAlignment="1">
      <alignment horizontal="center" vertical="center"/>
    </xf>
    <xf numFmtId="9" fontId="81" fillId="31" borderId="1" xfId="12" applyFont="1" applyFill="1" applyBorder="1" applyAlignment="1" applyProtection="1">
      <alignment horizontal="center" vertical="center"/>
    </xf>
    <xf numFmtId="49" fontId="72" fillId="31" borderId="25" xfId="1" applyNumberFormat="1" applyFont="1" applyFill="1" applyBorder="1" applyAlignment="1">
      <alignment horizontal="left" vertical="center"/>
    </xf>
    <xf numFmtId="3" fontId="81" fillId="28" borderId="1" xfId="1" applyNumberFormat="1" applyFont="1" applyFill="1" applyBorder="1" applyAlignment="1">
      <alignment horizontal="center" vertical="center"/>
    </xf>
    <xf numFmtId="9" fontId="81" fillId="28" borderId="1" xfId="12" applyFont="1" applyFill="1" applyBorder="1" applyAlignment="1" applyProtection="1">
      <alignment horizontal="center" vertical="center"/>
    </xf>
    <xf numFmtId="3" fontId="73" fillId="28" borderId="1" xfId="1" applyNumberFormat="1" applyFont="1" applyFill="1" applyBorder="1" applyAlignment="1" applyProtection="1">
      <alignment horizontal="center" vertical="center"/>
      <protection locked="0"/>
    </xf>
    <xf numFmtId="49" fontId="69" fillId="0" borderId="4" xfId="1" applyNumberFormat="1" applyFont="1" applyBorder="1" applyAlignment="1">
      <alignment horizontal="center" vertical="center" wrapText="1"/>
    </xf>
    <xf numFmtId="49" fontId="72" fillId="0" borderId="1" xfId="1" applyNumberFormat="1" applyFont="1" applyBorder="1" applyAlignment="1">
      <alignment vertical="center"/>
    </xf>
    <xf numFmtId="3" fontId="69" fillId="0" borderId="1" xfId="14" applyNumberFormat="1" applyFont="1" applyFill="1" applyBorder="1" applyAlignment="1" applyProtection="1">
      <alignment horizontal="right" vertical="center"/>
      <protection locked="0"/>
    </xf>
    <xf numFmtId="0" fontId="69" fillId="0" borderId="1" xfId="0" applyFont="1" applyBorder="1" applyAlignment="1" applyProtection="1">
      <alignment vertical="center" wrapText="1"/>
      <protection locked="0"/>
    </xf>
    <xf numFmtId="0" fontId="69" fillId="0" borderId="0" xfId="0" applyFont="1" applyAlignment="1" applyProtection="1">
      <alignment vertical="center" wrapText="1"/>
      <protection locked="0"/>
    </xf>
    <xf numFmtId="9" fontId="81" fillId="28" borderId="5" xfId="12" applyFont="1" applyFill="1" applyBorder="1" applyAlignment="1" applyProtection="1">
      <alignment horizontal="center" vertical="center"/>
    </xf>
    <xf numFmtId="3" fontId="72" fillId="28" borderId="3" xfId="1" applyNumberFormat="1" applyFont="1" applyFill="1" applyBorder="1" applyAlignment="1">
      <alignment horizontal="right" vertical="center"/>
    </xf>
    <xf numFmtId="49" fontId="69" fillId="28" borderId="1" xfId="1" applyNumberFormat="1" applyFont="1" applyFill="1" applyBorder="1" applyAlignment="1">
      <alignment horizontal="center" vertical="center"/>
    </xf>
    <xf numFmtId="49" fontId="72" fillId="28" borderId="1" xfId="1" applyNumberFormat="1" applyFont="1" applyFill="1" applyBorder="1" applyAlignment="1">
      <alignment horizontal="center" vertical="center"/>
    </xf>
    <xf numFmtId="0" fontId="72" fillId="0" borderId="0" xfId="0" applyFont="1" applyAlignment="1">
      <alignment vertical="center"/>
    </xf>
    <xf numFmtId="0" fontId="72" fillId="0" borderId="0" xfId="0" applyFont="1" applyAlignment="1">
      <alignment vertical="center" wrapText="1"/>
    </xf>
    <xf numFmtId="3" fontId="72" fillId="28" borderId="1" xfId="1" applyNumberFormat="1" applyFont="1" applyFill="1" applyBorder="1" applyAlignment="1" applyProtection="1">
      <alignment horizontal="right" vertical="center"/>
      <protection locked="0"/>
    </xf>
    <xf numFmtId="3" fontId="72" fillId="28" borderId="3" xfId="1" applyNumberFormat="1" applyFont="1" applyFill="1" applyBorder="1" applyAlignment="1" applyProtection="1">
      <alignment horizontal="right" vertical="center"/>
      <protection locked="0"/>
    </xf>
    <xf numFmtId="0" fontId="72" fillId="0" borderId="0" xfId="0" applyFont="1" applyAlignment="1" applyProtection="1">
      <alignment vertical="center"/>
      <protection locked="0"/>
    </xf>
    <xf numFmtId="0" fontId="72" fillId="0" borderId="0" xfId="0" applyFont="1" applyAlignment="1" applyProtection="1">
      <alignment vertical="center" wrapText="1"/>
      <protection locked="0"/>
    </xf>
    <xf numFmtId="49" fontId="69" fillId="28" borderId="6" xfId="1" applyNumberFormat="1" applyFont="1" applyFill="1" applyBorder="1" applyAlignment="1">
      <alignment horizontal="center" vertical="center"/>
    </xf>
    <xf numFmtId="49" fontId="69" fillId="0" borderId="6" xfId="1" applyNumberFormat="1" applyFont="1" applyBorder="1" applyAlignment="1">
      <alignment horizontal="center" vertical="center" wrapText="1"/>
    </xf>
    <xf numFmtId="9" fontId="73" fillId="28" borderId="1" xfId="12" applyFont="1" applyFill="1" applyBorder="1" applyAlignment="1" applyProtection="1">
      <alignment horizontal="center" vertical="center"/>
      <protection locked="0"/>
    </xf>
    <xf numFmtId="49" fontId="69" fillId="0" borderId="1" xfId="1" applyNumberFormat="1" applyFont="1" applyBorder="1" applyAlignment="1">
      <alignment horizontal="center" vertical="center" wrapText="1"/>
    </xf>
    <xf numFmtId="49" fontId="69" fillId="0" borderId="1" xfId="1" applyNumberFormat="1" applyFont="1" applyBorder="1" applyAlignment="1">
      <alignment horizontal="center" vertical="center"/>
    </xf>
    <xf numFmtId="49" fontId="72" fillId="0" borderId="1" xfId="1" applyNumberFormat="1" applyFont="1" applyBorder="1" applyAlignment="1">
      <alignment horizontal="center" vertical="center"/>
    </xf>
    <xf numFmtId="3" fontId="81" fillId="28" borderId="1" xfId="1" applyNumberFormat="1" applyFont="1" applyFill="1" applyBorder="1" applyAlignment="1" applyProtection="1">
      <alignment horizontal="center" vertical="center"/>
      <protection locked="0"/>
    </xf>
    <xf numFmtId="9" fontId="81" fillId="28" borderId="1" xfId="12" applyFont="1" applyFill="1" applyBorder="1" applyAlignment="1" applyProtection="1">
      <alignment horizontal="center" vertical="center"/>
      <protection locked="0"/>
    </xf>
    <xf numFmtId="49" fontId="69" fillId="28" borderId="1" xfId="1" applyNumberFormat="1" applyFont="1" applyFill="1" applyBorder="1" applyAlignment="1">
      <alignment horizontal="left" vertical="center" wrapText="1"/>
    </xf>
    <xf numFmtId="3" fontId="73" fillId="36" borderId="1" xfId="1" applyNumberFormat="1" applyFont="1" applyFill="1" applyBorder="1" applyAlignment="1">
      <alignment horizontal="center" vertical="center"/>
    </xf>
    <xf numFmtId="9" fontId="73" fillId="36" borderId="1" xfId="12" applyFont="1" applyFill="1" applyBorder="1" applyAlignment="1" applyProtection="1">
      <alignment horizontal="center" vertical="center"/>
    </xf>
    <xf numFmtId="49" fontId="72" fillId="28" borderId="1" xfId="1" applyNumberFormat="1" applyFont="1" applyFill="1" applyBorder="1" applyAlignment="1">
      <alignment vertical="center"/>
    </xf>
    <xf numFmtId="49" fontId="69" fillId="28" borderId="1" xfId="1" applyNumberFormat="1" applyFont="1" applyFill="1" applyBorder="1" applyAlignment="1">
      <alignment vertical="center"/>
    </xf>
    <xf numFmtId="49" fontId="72" fillId="28" borderId="4" xfId="1" applyNumberFormat="1" applyFont="1" applyFill="1" applyBorder="1" applyAlignment="1">
      <alignment vertical="center"/>
    </xf>
    <xf numFmtId="49" fontId="69" fillId="28" borderId="4" xfId="1" applyNumberFormat="1" applyFont="1" applyFill="1" applyBorder="1" applyAlignment="1">
      <alignment vertical="center"/>
    </xf>
    <xf numFmtId="3" fontId="73" fillId="28" borderId="1" xfId="1" applyNumberFormat="1" applyFont="1" applyFill="1" applyBorder="1" applyAlignment="1">
      <alignment horizontal="center" vertical="center"/>
    </xf>
    <xf numFmtId="9" fontId="73" fillId="28" borderId="1" xfId="12" applyFont="1" applyFill="1" applyBorder="1" applyAlignment="1" applyProtection="1">
      <alignment horizontal="center" vertical="center"/>
    </xf>
    <xf numFmtId="3" fontId="69" fillId="28" borderId="1" xfId="1" applyNumberFormat="1" applyFont="1" applyFill="1" applyBorder="1" applyAlignment="1">
      <alignment horizontal="right" vertical="center"/>
    </xf>
    <xf numFmtId="3" fontId="72" fillId="36" borderId="1" xfId="1" applyNumberFormat="1" applyFont="1" applyFill="1" applyBorder="1" applyAlignment="1" applyProtection="1">
      <alignment horizontal="right" vertical="center"/>
      <protection locked="0"/>
    </xf>
    <xf numFmtId="3" fontId="81" fillId="36" borderId="1" xfId="1" applyNumberFormat="1" applyFont="1" applyFill="1" applyBorder="1" applyAlignment="1" applyProtection="1">
      <alignment horizontal="center" vertical="center"/>
      <protection locked="0"/>
    </xf>
    <xf numFmtId="9" fontId="81" fillId="36" borderId="1" xfId="12" applyFont="1" applyFill="1" applyBorder="1" applyAlignment="1" applyProtection="1">
      <alignment horizontal="center" vertical="center"/>
      <protection locked="0"/>
    </xf>
    <xf numFmtId="49" fontId="72" fillId="36" borderId="4" xfId="1" applyNumberFormat="1" applyFont="1" applyFill="1" applyBorder="1" applyAlignment="1" applyProtection="1">
      <alignment horizontal="center" vertical="center"/>
      <protection locked="0"/>
    </xf>
    <xf numFmtId="49" fontId="69" fillId="36" borderId="4" xfId="1" applyNumberFormat="1" applyFont="1" applyFill="1" applyBorder="1" applyAlignment="1" applyProtection="1">
      <alignment horizontal="center" vertical="center"/>
      <protection locked="0"/>
    </xf>
    <xf numFmtId="3" fontId="69" fillId="0" borderId="0" xfId="0" applyNumberFormat="1" applyFont="1" applyAlignment="1">
      <alignment vertical="center"/>
    </xf>
    <xf numFmtId="49" fontId="72" fillId="28" borderId="25" xfId="1" applyNumberFormat="1" applyFont="1" applyFill="1" applyBorder="1" applyAlignment="1">
      <alignment horizontal="left" vertical="center"/>
    </xf>
    <xf numFmtId="49" fontId="69" fillId="28" borderId="25" xfId="1" applyNumberFormat="1" applyFont="1" applyFill="1" applyBorder="1" applyAlignment="1">
      <alignment horizontal="left" vertical="center"/>
    </xf>
    <xf numFmtId="3" fontId="72" fillId="28" borderId="1" xfId="1" applyNumberFormat="1" applyFont="1" applyFill="1" applyBorder="1" applyAlignment="1">
      <alignment horizontal="right" vertical="center" wrapText="1"/>
    </xf>
    <xf numFmtId="3" fontId="72" fillId="0" borderId="0" xfId="1" applyNumberFormat="1" applyFont="1" applyAlignment="1">
      <alignment horizontal="right" vertical="center"/>
    </xf>
    <xf numFmtId="3" fontId="81" fillId="0" borderId="0" xfId="1" applyNumberFormat="1" applyFont="1" applyAlignment="1">
      <alignment horizontal="center" vertical="center"/>
    </xf>
    <xf numFmtId="9" fontId="81" fillId="0" borderId="0" xfId="12" applyFont="1" applyFill="1" applyBorder="1" applyAlignment="1" applyProtection="1">
      <alignment horizontal="center" vertical="center"/>
    </xf>
    <xf numFmtId="49" fontId="72" fillId="0" borderId="0" xfId="1" applyNumberFormat="1" applyFont="1" applyAlignment="1">
      <alignment horizontal="left" vertical="center"/>
    </xf>
    <xf numFmtId="49" fontId="69" fillId="0" borderId="0" xfId="1" applyNumberFormat="1" applyFont="1" applyAlignment="1">
      <alignment horizontal="left" vertical="center"/>
    </xf>
    <xf numFmtId="3" fontId="72" fillId="0" borderId="0" xfId="1" applyNumberFormat="1" applyFont="1" applyAlignment="1">
      <alignment horizontal="right" vertical="center" wrapText="1"/>
    </xf>
    <xf numFmtId="0" fontId="73" fillId="0" borderId="0" xfId="0" applyFont="1" applyAlignment="1" applyProtection="1">
      <alignment horizontal="center" vertical="center"/>
      <protection locked="0"/>
    </xf>
    <xf numFmtId="0" fontId="69" fillId="0" borderId="0" xfId="1467" applyFont="1" applyAlignment="1">
      <alignment horizontal="left" vertical="top" wrapText="1"/>
    </xf>
    <xf numFmtId="49" fontId="72" fillId="28" borderId="1" xfId="1" applyNumberFormat="1" applyFont="1" applyFill="1" applyBorder="1" applyAlignment="1">
      <alignment vertical="center" wrapText="1"/>
    </xf>
    <xf numFmtId="49" fontId="72" fillId="28" borderId="1" xfId="1" applyNumberFormat="1" applyFont="1" applyFill="1" applyBorder="1" applyAlignment="1">
      <alignment horizontal="center" vertical="center" wrapText="1"/>
    </xf>
    <xf numFmtId="1" fontId="47" fillId="0" borderId="6" xfId="0" applyNumberFormat="1" applyFont="1" applyBorder="1"/>
    <xf numFmtId="1" fontId="47" fillId="0" borderId="1" xfId="0" applyNumberFormat="1" applyFont="1" applyBorder="1" applyAlignment="1" applyProtection="1">
      <alignment horizontal="right" vertical="center"/>
      <protection locked="0"/>
    </xf>
    <xf numFmtId="1" fontId="48" fillId="0" borderId="1" xfId="12" applyNumberFormat="1" applyFont="1" applyFill="1" applyBorder="1" applyAlignment="1" applyProtection="1">
      <alignment horizontal="left" vertical="center"/>
    </xf>
    <xf numFmtId="1" fontId="47" fillId="0" borderId="1" xfId="0" applyNumberFormat="1" applyFont="1" applyBorder="1"/>
    <xf numFmtId="0" fontId="47" fillId="0" borderId="1" xfId="0" applyFont="1" applyBorder="1"/>
    <xf numFmtId="3" fontId="47" fillId="0" borderId="3" xfId="6" applyNumberFormat="1" applyFont="1" applyBorder="1" applyAlignment="1" applyProtection="1">
      <alignment horizontal="right" vertical="center" wrapText="1"/>
      <protection locked="0"/>
    </xf>
    <xf numFmtId="9" fontId="48" fillId="0" borderId="3" xfId="12" applyFont="1" applyFill="1" applyBorder="1" applyAlignment="1" applyProtection="1">
      <alignment horizontal="center" vertical="center"/>
    </xf>
    <xf numFmtId="3" fontId="47" fillId="0" borderId="3" xfId="6" applyNumberFormat="1" applyFont="1" applyBorder="1" applyAlignment="1" applyProtection="1">
      <alignment horizontal="right" vertical="center"/>
      <protection locked="0"/>
    </xf>
    <xf numFmtId="49" fontId="47" fillId="0" borderId="4" xfId="6" applyNumberFormat="1" applyFont="1" applyBorder="1" applyAlignment="1">
      <alignment horizontal="center" vertical="center"/>
    </xf>
    <xf numFmtId="49" fontId="47" fillId="37" borderId="1" xfId="6" applyNumberFormat="1" applyFont="1" applyFill="1" applyBorder="1" applyAlignment="1" applyProtection="1">
      <alignment horizontal="left" vertical="center" wrapText="1"/>
      <protection locked="0"/>
    </xf>
    <xf numFmtId="49" fontId="34" fillId="37" borderId="4" xfId="0" applyNumberFormat="1" applyFont="1" applyFill="1" applyBorder="1" applyAlignment="1">
      <alignment horizontal="left" vertical="center" wrapText="1"/>
    </xf>
    <xf numFmtId="49" fontId="47" fillId="37" borderId="1" xfId="6" applyNumberFormat="1" applyFont="1" applyFill="1" applyBorder="1" applyAlignment="1">
      <alignment horizontal="left" vertical="center" wrapText="1"/>
    </xf>
    <xf numFmtId="49" fontId="48" fillId="37" borderId="1" xfId="12" applyNumberFormat="1" applyFont="1" applyFill="1" applyBorder="1" applyAlignment="1" applyProtection="1">
      <alignment horizontal="left" vertical="center" wrapText="1"/>
    </xf>
    <xf numFmtId="3" fontId="47" fillId="33" borderId="6" xfId="0" applyNumberFormat="1" applyFont="1" applyFill="1" applyBorder="1" applyAlignment="1">
      <alignment horizontal="right"/>
    </xf>
    <xf numFmtId="3" fontId="47" fillId="0" borderId="6" xfId="0" applyNumberFormat="1" applyFont="1" applyBorder="1" applyAlignment="1">
      <alignment horizontal="right"/>
    </xf>
    <xf numFmtId="1" fontId="51" fillId="0" borderId="1" xfId="0" applyNumberFormat="1" applyFont="1" applyBorder="1" applyAlignment="1">
      <alignment horizontal="center" vertical="center" wrapText="1"/>
    </xf>
    <xf numFmtId="3" fontId="48" fillId="37" borderId="1" xfId="0" applyNumberFormat="1" applyFont="1" applyFill="1" applyBorder="1" applyAlignment="1" applyProtection="1">
      <alignment horizontal="left" vertical="center" wrapText="1"/>
      <protection locked="0"/>
    </xf>
    <xf numFmtId="3" fontId="47" fillId="37" borderId="1" xfId="0" applyNumberFormat="1" applyFont="1" applyFill="1" applyBorder="1" applyAlignment="1" applyProtection="1">
      <alignment horizontal="left" vertical="center" wrapText="1"/>
      <protection locked="0"/>
    </xf>
    <xf numFmtId="3" fontId="48" fillId="37" borderId="1" xfId="0" applyNumberFormat="1" applyFont="1" applyFill="1" applyBorder="1" applyAlignment="1" applyProtection="1">
      <alignment vertical="center" wrapText="1"/>
      <protection locked="0"/>
    </xf>
    <xf numFmtId="168" fontId="34" fillId="28" borderId="1" xfId="1467" applyNumberFormat="1" applyFont="1" applyFill="1" applyBorder="1" applyAlignment="1" applyProtection="1">
      <alignment horizontal="center" vertical="center"/>
      <protection locked="0"/>
    </xf>
    <xf numFmtId="0" fontId="47" fillId="38" borderId="1" xfId="0" applyFont="1" applyFill="1" applyBorder="1" applyAlignment="1">
      <alignment vertical="center" wrapText="1"/>
    </xf>
    <xf numFmtId="0" fontId="34" fillId="38" borderId="1" xfId="0" applyFont="1" applyFill="1" applyBorder="1" applyAlignment="1">
      <alignment vertical="center" wrapText="1"/>
    </xf>
    <xf numFmtId="0" fontId="34" fillId="29" borderId="1" xfId="0" applyFont="1" applyFill="1" applyBorder="1" applyAlignment="1">
      <alignment wrapText="1"/>
    </xf>
    <xf numFmtId="0" fontId="57" fillId="28" borderId="1" xfId="0" applyFont="1" applyFill="1" applyBorder="1" applyAlignment="1">
      <alignment horizontal="left" vertical="center" wrapText="1"/>
    </xf>
    <xf numFmtId="0" fontId="47" fillId="4" borderId="35" xfId="0" applyFont="1" applyFill="1" applyBorder="1" applyAlignment="1">
      <alignment horizontal="center" vertical="center" wrapText="1"/>
    </xf>
    <xf numFmtId="0" fontId="47" fillId="4" borderId="36" xfId="0" applyFont="1" applyFill="1" applyBorder="1" applyAlignment="1">
      <alignment horizontal="center" vertical="center" wrapText="1"/>
    </xf>
    <xf numFmtId="0" fontId="46" fillId="28" borderId="5" xfId="0" applyFont="1" applyFill="1" applyBorder="1" applyAlignment="1">
      <alignment horizontal="center" vertical="center" wrapText="1"/>
    </xf>
    <xf numFmtId="0" fontId="47" fillId="0" borderId="35" xfId="0" applyFont="1" applyBorder="1" applyAlignment="1">
      <alignment horizontal="center" vertical="center" wrapText="1"/>
    </xf>
    <xf numFmtId="0" fontId="34" fillId="4" borderId="1" xfId="0" applyFont="1" applyFill="1" applyBorder="1" applyAlignment="1">
      <alignment horizontal="left" vertical="center" wrapText="1"/>
    </xf>
    <xf numFmtId="0" fontId="34" fillId="0" borderId="1" xfId="0" applyFont="1" applyBorder="1" applyAlignment="1">
      <alignment horizontal="left" vertical="center" wrapText="1"/>
    </xf>
    <xf numFmtId="0" fontId="68" fillId="0" borderId="1" xfId="0" applyFont="1" applyBorder="1"/>
    <xf numFmtId="0" fontId="75" fillId="0" borderId="1" xfId="0" applyFont="1" applyBorder="1"/>
    <xf numFmtId="3" fontId="46" fillId="2" borderId="37" xfId="6" applyNumberFormat="1" applyFont="1" applyFill="1" applyBorder="1" applyAlignment="1">
      <alignment vertical="center" wrapText="1"/>
    </xf>
    <xf numFmtId="3" fontId="65" fillId="0" borderId="4" xfId="0" applyNumberFormat="1" applyFont="1" applyBorder="1" applyAlignment="1" applyProtection="1">
      <alignment vertical="center" wrapText="1"/>
      <protection locked="0"/>
    </xf>
    <xf numFmtId="3" fontId="67" fillId="2" borderId="6" xfId="0" applyNumberFormat="1" applyFont="1" applyFill="1" applyBorder="1" applyAlignment="1" applyProtection="1">
      <alignment vertical="center" wrapText="1"/>
      <protection locked="0"/>
    </xf>
    <xf numFmtId="0" fontId="83" fillId="0" borderId="1" xfId="0" applyFont="1" applyBorder="1" applyAlignment="1">
      <alignment wrapText="1"/>
    </xf>
    <xf numFmtId="0" fontId="84" fillId="0" borderId="6" xfId="0" applyFont="1" applyBorder="1"/>
    <xf numFmtId="0" fontId="83" fillId="33" borderId="6" xfId="0" applyFont="1" applyFill="1" applyBorder="1" applyAlignment="1">
      <alignment wrapText="1"/>
    </xf>
    <xf numFmtId="0" fontId="83" fillId="0" borderId="0" xfId="0" applyFont="1"/>
    <xf numFmtId="0" fontId="83" fillId="33" borderId="1" xfId="0" applyFont="1" applyFill="1" applyBorder="1" applyAlignment="1">
      <alignment wrapText="1"/>
    </xf>
    <xf numFmtId="0" fontId="83" fillId="0" borderId="1" xfId="1" applyFont="1" applyBorder="1" applyAlignment="1">
      <alignment vertical="center" wrapText="1"/>
    </xf>
    <xf numFmtId="0" fontId="84" fillId="0" borderId="28" xfId="0" applyFont="1" applyBorder="1"/>
    <xf numFmtId="0" fontId="84" fillId="33" borderId="28" xfId="0" applyFont="1" applyFill="1" applyBorder="1" applyAlignment="1">
      <alignment wrapText="1"/>
    </xf>
    <xf numFmtId="0" fontId="83" fillId="0" borderId="5" xfId="1" applyFont="1" applyBorder="1" applyAlignment="1">
      <alignment vertical="center" wrapText="1"/>
    </xf>
    <xf numFmtId="0" fontId="83" fillId="0" borderId="37" xfId="1" applyFont="1" applyBorder="1" applyAlignment="1">
      <alignment vertical="center" wrapText="1"/>
    </xf>
    <xf numFmtId="3" fontId="46" fillId="28" borderId="37" xfId="6" applyNumberFormat="1" applyFont="1" applyFill="1" applyBorder="1" applyAlignment="1">
      <alignment vertical="center" wrapText="1"/>
    </xf>
    <xf numFmtId="0" fontId="83" fillId="0" borderId="5" xfId="0" applyFont="1" applyBorder="1" applyAlignment="1">
      <alignment wrapText="1"/>
    </xf>
    <xf numFmtId="0" fontId="83" fillId="33" borderId="29" xfId="0" applyFont="1" applyFill="1" applyBorder="1" applyAlignment="1">
      <alignment wrapText="1"/>
    </xf>
    <xf numFmtId="166" fontId="51" fillId="31" borderId="5" xfId="12" applyNumberFormat="1" applyFont="1" applyFill="1" applyBorder="1" applyAlignment="1" applyProtection="1">
      <alignment horizontal="center" vertical="center" wrapText="1"/>
    </xf>
    <xf numFmtId="1" fontId="46" fillId="31" borderId="3" xfId="0" applyNumberFormat="1" applyFont="1" applyFill="1" applyBorder="1" applyAlignment="1">
      <alignment horizontal="right" vertical="center" wrapText="1"/>
    </xf>
    <xf numFmtId="3" fontId="51" fillId="37" borderId="1" xfId="0" applyNumberFormat="1" applyFont="1" applyFill="1" applyBorder="1" applyAlignment="1">
      <alignment horizontal="left" vertical="center" wrapText="1"/>
    </xf>
    <xf numFmtId="3" fontId="47" fillId="0" borderId="1" xfId="0" applyNumberFormat="1" applyFont="1" applyBorder="1" applyAlignment="1">
      <alignment horizontal="right" wrapText="1"/>
    </xf>
    <xf numFmtId="3" fontId="51" fillId="37" borderId="4" xfId="0" applyNumberFormat="1" applyFont="1" applyFill="1" applyBorder="1" applyAlignment="1">
      <alignment horizontal="center" vertical="center" wrapText="1"/>
    </xf>
    <xf numFmtId="0" fontId="46" fillId="35" borderId="1" xfId="0" applyFont="1" applyFill="1" applyBorder="1" applyAlignment="1">
      <alignment horizontal="right" vertical="center" wrapText="1"/>
    </xf>
    <xf numFmtId="0" fontId="47" fillId="33" borderId="1" xfId="0" applyFont="1" applyFill="1" applyBorder="1" applyAlignment="1">
      <alignment horizontal="right" vertical="center"/>
    </xf>
    <xf numFmtId="0" fontId="66" fillId="31" borderId="1" xfId="1" applyFont="1" applyFill="1" applyBorder="1" applyAlignment="1">
      <alignment horizontal="center" vertical="center" wrapText="1"/>
    </xf>
    <xf numFmtId="3" fontId="65" fillId="28" borderId="1" xfId="0" applyNumberFormat="1" applyFont="1" applyFill="1" applyBorder="1" applyAlignment="1" applyProtection="1">
      <alignment horizontal="right" vertical="center" wrapText="1"/>
      <protection locked="0"/>
    </xf>
    <xf numFmtId="3" fontId="65" fillId="28" borderId="1" xfId="7" applyNumberFormat="1" applyFont="1" applyFill="1" applyBorder="1" applyAlignment="1" applyProtection="1">
      <alignment vertical="center" wrapText="1"/>
      <protection locked="0"/>
    </xf>
    <xf numFmtId="3" fontId="65" fillId="28" borderId="1" xfId="5" applyNumberFormat="1" applyFont="1" applyFill="1" applyBorder="1" applyAlignment="1" applyProtection="1">
      <alignment vertical="center" wrapText="1"/>
      <protection locked="0"/>
    </xf>
    <xf numFmtId="3" fontId="66" fillId="2" borderId="1" xfId="0" applyNumberFormat="1" applyFont="1" applyFill="1" applyBorder="1" applyAlignment="1" applyProtection="1">
      <alignment horizontal="right" vertical="center" wrapText="1"/>
      <protection locked="0"/>
    </xf>
    <xf numFmtId="3" fontId="66" fillId="2" borderId="1" xfId="7" applyNumberFormat="1" applyFont="1" applyFill="1" applyBorder="1" applyAlignment="1" applyProtection="1">
      <alignment vertical="center" wrapText="1"/>
      <protection locked="0"/>
    </xf>
    <xf numFmtId="3" fontId="66" fillId="2" borderId="1" xfId="5" applyNumberFormat="1" applyFont="1" applyFill="1" applyBorder="1" applyAlignment="1" applyProtection="1">
      <alignment vertical="center" wrapText="1"/>
      <protection locked="0"/>
    </xf>
    <xf numFmtId="3" fontId="65" fillId="2" borderId="1" xfId="0" applyNumberFormat="1" applyFont="1" applyFill="1" applyBorder="1" applyAlignment="1" applyProtection="1">
      <alignment horizontal="right" vertical="center" wrapText="1"/>
      <protection locked="0"/>
    </xf>
    <xf numFmtId="3" fontId="65" fillId="2" borderId="1" xfId="7" applyNumberFormat="1" applyFont="1" applyFill="1" applyBorder="1" applyAlignment="1" applyProtection="1">
      <alignment vertical="center" wrapText="1"/>
      <protection locked="0"/>
    </xf>
    <xf numFmtId="3" fontId="65" fillId="2" borderId="1" xfId="5" applyNumberFormat="1" applyFont="1" applyFill="1" applyBorder="1" applyAlignment="1" applyProtection="1">
      <alignment vertical="center" wrapText="1"/>
      <protection locked="0"/>
    </xf>
    <xf numFmtId="1" fontId="85" fillId="0" borderId="26" xfId="1" applyNumberFormat="1" applyFont="1" applyBorder="1" applyAlignment="1">
      <alignment vertical="center" wrapText="1"/>
    </xf>
    <xf numFmtId="3" fontId="65" fillId="2" borderId="3" xfId="0" applyNumberFormat="1" applyFont="1" applyFill="1" applyBorder="1" applyAlignment="1" applyProtection="1">
      <alignment horizontal="right" vertical="center" wrapText="1"/>
      <protection locked="0"/>
    </xf>
    <xf numFmtId="3" fontId="65" fillId="2" borderId="3" xfId="0" applyNumberFormat="1" applyFont="1" applyFill="1" applyBorder="1" applyAlignment="1" applyProtection="1">
      <alignment vertical="center" wrapText="1"/>
      <protection locked="0"/>
    </xf>
    <xf numFmtId="3" fontId="65" fillId="0" borderId="1" xfId="0" applyNumberFormat="1" applyFont="1" applyBorder="1" applyAlignment="1" applyProtection="1">
      <alignment horizontal="right" vertical="center" wrapText="1"/>
      <protection locked="0"/>
    </xf>
    <xf numFmtId="3" fontId="65" fillId="0" borderId="1" xfId="7" applyNumberFormat="1" applyFont="1" applyBorder="1" applyAlignment="1" applyProtection="1">
      <alignment vertical="center" wrapText="1"/>
      <protection locked="0"/>
    </xf>
    <xf numFmtId="3" fontId="65" fillId="0" borderId="1" xfId="5" applyNumberFormat="1" applyFont="1" applyBorder="1" applyAlignment="1" applyProtection="1">
      <alignment vertical="center" wrapText="1"/>
      <protection locked="0"/>
    </xf>
    <xf numFmtId="3" fontId="66" fillId="0" borderId="1" xfId="7" applyNumberFormat="1" applyFont="1" applyBorder="1" applyAlignment="1" applyProtection="1">
      <alignment vertical="center" wrapText="1"/>
      <protection locked="0"/>
    </xf>
    <xf numFmtId="3" fontId="66" fillId="0" borderId="1" xfId="5" applyNumberFormat="1" applyFont="1" applyBorder="1" applyAlignment="1" applyProtection="1">
      <alignment vertical="center" wrapText="1"/>
      <protection locked="0"/>
    </xf>
    <xf numFmtId="3" fontId="66" fillId="0" borderId="4" xfId="7" applyNumberFormat="1" applyFont="1" applyBorder="1" applyAlignment="1" applyProtection="1">
      <alignment vertical="center" wrapText="1"/>
      <protection locked="0"/>
    </xf>
    <xf numFmtId="3" fontId="66" fillId="0" borderId="4" xfId="5" applyNumberFormat="1" applyFont="1" applyBorder="1" applyAlignment="1" applyProtection="1">
      <alignment vertical="center" wrapText="1"/>
      <protection locked="0"/>
    </xf>
    <xf numFmtId="3" fontId="67" fillId="2" borderId="6" xfId="7" applyNumberFormat="1" applyFont="1" applyFill="1" applyBorder="1" applyAlignment="1" applyProtection="1">
      <alignment vertical="center" wrapText="1"/>
      <protection locked="0"/>
    </xf>
    <xf numFmtId="3" fontId="67" fillId="2" borderId="6" xfId="5" applyNumberFormat="1" applyFont="1" applyFill="1" applyBorder="1" applyAlignment="1" applyProtection="1">
      <alignment vertical="center" wrapText="1"/>
      <protection locked="0"/>
    </xf>
    <xf numFmtId="3" fontId="67" fillId="2" borderId="1" xfId="5" applyNumberFormat="1" applyFont="1" applyFill="1" applyBorder="1" applyAlignment="1" applyProtection="1">
      <alignment vertical="center" wrapText="1"/>
      <protection locked="0"/>
    </xf>
    <xf numFmtId="3" fontId="85" fillId="2" borderId="1" xfId="0" applyNumberFormat="1" applyFont="1" applyFill="1" applyBorder="1" applyAlignment="1" applyProtection="1">
      <alignment vertical="center" wrapText="1"/>
      <protection locked="0"/>
    </xf>
    <xf numFmtId="3" fontId="65" fillId="31" borderId="4" xfId="7" applyNumberFormat="1" applyFont="1" applyFill="1" applyBorder="1" applyAlignment="1" applyProtection="1">
      <alignment vertical="center" wrapText="1"/>
      <protection locked="0"/>
    </xf>
    <xf numFmtId="3" fontId="65" fillId="31" borderId="4" xfId="5" applyNumberFormat="1" applyFont="1" applyFill="1" applyBorder="1" applyAlignment="1" applyProtection="1">
      <alignment vertical="center" wrapText="1"/>
      <protection locked="0"/>
    </xf>
    <xf numFmtId="3" fontId="65" fillId="31" borderId="1" xfId="5" applyNumberFormat="1" applyFont="1" applyFill="1" applyBorder="1" applyAlignment="1" applyProtection="1">
      <alignment vertical="center" wrapText="1"/>
      <protection locked="0"/>
    </xf>
    <xf numFmtId="0" fontId="65" fillId="0" borderId="6" xfId="0" applyFont="1" applyBorder="1" applyAlignment="1">
      <alignment wrapText="1"/>
    </xf>
    <xf numFmtId="3" fontId="72" fillId="28" borderId="1" xfId="1" applyNumberFormat="1" applyFont="1" applyFill="1" applyBorder="1" applyAlignment="1">
      <alignment vertical="center" wrapText="1"/>
    </xf>
    <xf numFmtId="0" fontId="86" fillId="0" borderId="26" xfId="0" applyFont="1" applyBorder="1" applyAlignment="1">
      <alignment horizontal="right"/>
    </xf>
    <xf numFmtId="0" fontId="86" fillId="0" borderId="3" xfId="0" applyFont="1" applyBorder="1"/>
    <xf numFmtId="0" fontId="86" fillId="0" borderId="2" xfId="0" applyFont="1" applyBorder="1" applyAlignment="1">
      <alignment wrapText="1"/>
    </xf>
    <xf numFmtId="0" fontId="86" fillId="0" borderId="2" xfId="0" applyFont="1" applyBorder="1"/>
    <xf numFmtId="0" fontId="86" fillId="0" borderId="0" xfId="0" applyFont="1"/>
    <xf numFmtId="3" fontId="86" fillId="0" borderId="26" xfId="0" applyNumberFormat="1" applyFont="1" applyBorder="1" applyAlignment="1">
      <alignment horizontal="right"/>
    </xf>
    <xf numFmtId="1" fontId="47" fillId="0" borderId="1" xfId="1" applyNumberFormat="1" applyFont="1" applyBorder="1" applyAlignment="1">
      <alignment horizontal="center" vertical="center" wrapText="1"/>
    </xf>
    <xf numFmtId="3" fontId="72" fillId="2" borderId="1" xfId="0" applyNumberFormat="1" applyFont="1" applyFill="1" applyBorder="1" applyAlignment="1" applyProtection="1">
      <alignment horizontal="right" vertical="center" wrapText="1"/>
      <protection locked="0"/>
    </xf>
    <xf numFmtId="3" fontId="72" fillId="2" borderId="1" xfId="7" applyNumberFormat="1" applyFont="1" applyFill="1" applyBorder="1" applyAlignment="1" applyProtection="1">
      <alignment vertical="center" wrapText="1"/>
      <protection locked="0"/>
    </xf>
    <xf numFmtId="3" fontId="72" fillId="2" borderId="1" xfId="5" applyNumberFormat="1" applyFont="1" applyFill="1" applyBorder="1" applyAlignment="1" applyProtection="1">
      <alignment vertical="center" wrapText="1"/>
      <protection locked="0"/>
    </xf>
    <xf numFmtId="0" fontId="87" fillId="0" borderId="1" xfId="0" applyFont="1" applyBorder="1" applyAlignment="1">
      <alignment wrapText="1"/>
    </xf>
    <xf numFmtId="0" fontId="87" fillId="33" borderId="1" xfId="0" applyFont="1" applyFill="1" applyBorder="1" applyAlignment="1">
      <alignment wrapText="1"/>
    </xf>
    <xf numFmtId="3" fontId="69" fillId="2" borderId="1" xfId="7" applyNumberFormat="1" applyFont="1" applyFill="1" applyBorder="1" applyAlignment="1" applyProtection="1">
      <alignment vertical="center" wrapText="1"/>
      <protection locked="0"/>
    </xf>
    <xf numFmtId="3" fontId="72" fillId="2" borderId="3" xfId="5" applyNumberFormat="1" applyFont="1" applyFill="1" applyBorder="1" applyAlignment="1" applyProtection="1">
      <alignment vertical="center" wrapText="1"/>
      <protection locked="0"/>
    </xf>
    <xf numFmtId="0" fontId="87" fillId="33" borderId="3" xfId="0" applyFont="1" applyFill="1" applyBorder="1" applyAlignment="1">
      <alignment wrapText="1"/>
    </xf>
    <xf numFmtId="0" fontId="88" fillId="0" borderId="3" xfId="0" applyFont="1" applyBorder="1"/>
    <xf numFmtId="0" fontId="88" fillId="0" borderId="11" xfId="0" applyFont="1" applyBorder="1"/>
    <xf numFmtId="0" fontId="87" fillId="0" borderId="1" xfId="0" applyFont="1" applyBorder="1"/>
    <xf numFmtId="0" fontId="88" fillId="0" borderId="2" xfId="0" applyFont="1" applyBorder="1"/>
    <xf numFmtId="0" fontId="88" fillId="0" borderId="30" xfId="0" applyFont="1" applyBorder="1"/>
    <xf numFmtId="0" fontId="89" fillId="0" borderId="2" xfId="0" applyFont="1" applyBorder="1"/>
    <xf numFmtId="0" fontId="86" fillId="0" borderId="6" xfId="0" applyFont="1" applyBorder="1" applyAlignment="1">
      <alignment wrapText="1"/>
    </xf>
    <xf numFmtId="0" fontId="72" fillId="0" borderId="2" xfId="0" applyFont="1" applyBorder="1"/>
    <xf numFmtId="3" fontId="66" fillId="31" borderId="4" xfId="0" applyNumberFormat="1" applyFont="1" applyFill="1" applyBorder="1" applyAlignment="1" applyProtection="1">
      <alignment horizontal="center" vertical="center" wrapText="1"/>
      <protection locked="0"/>
    </xf>
    <xf numFmtId="0" fontId="68" fillId="0" borderId="4" xfId="0" applyFont="1" applyBorder="1" applyAlignment="1">
      <alignment wrapText="1"/>
    </xf>
    <xf numFmtId="3" fontId="69" fillId="0" borderId="3" xfId="6" applyNumberFormat="1" applyFont="1" applyBorder="1" applyAlignment="1">
      <alignment horizontal="right" vertical="center" wrapText="1"/>
    </xf>
    <xf numFmtId="49" fontId="47" fillId="37" borderId="1" xfId="0" applyNumberFormat="1" applyFont="1" applyFill="1" applyBorder="1" applyAlignment="1">
      <alignment vertical="center" wrapText="1"/>
    </xf>
    <xf numFmtId="49" fontId="47" fillId="37" borderId="4" xfId="0" applyNumberFormat="1" applyFont="1" applyFill="1" applyBorder="1" applyAlignment="1">
      <alignment horizontal="left" vertical="center" wrapText="1"/>
    </xf>
    <xf numFmtId="168" fontId="68" fillId="0" borderId="1" xfId="1467" applyNumberFormat="1" applyFont="1" applyBorder="1" applyAlignment="1" applyProtection="1">
      <alignment horizontal="center" vertical="center"/>
      <protection locked="0"/>
    </xf>
    <xf numFmtId="3" fontId="74" fillId="2" borderId="1" xfId="1467" applyNumberFormat="1" applyFont="1" applyFill="1" applyBorder="1" applyAlignment="1">
      <alignment horizontal="center" vertical="center"/>
    </xf>
    <xf numFmtId="0" fontId="90" fillId="0" borderId="0" xfId="1467" applyFont="1" applyAlignment="1">
      <alignment vertical="center"/>
    </xf>
    <xf numFmtId="49" fontId="69" fillId="37" borderId="1" xfId="1" applyNumberFormat="1" applyFont="1" applyFill="1" applyBorder="1" applyAlignment="1">
      <alignment horizontal="left" vertical="center" wrapText="1"/>
    </xf>
    <xf numFmtId="49" fontId="46" fillId="37" borderId="1" xfId="6" applyNumberFormat="1" applyFont="1" applyFill="1" applyBorder="1" applyAlignment="1">
      <alignment horizontal="center" vertical="center" wrapText="1"/>
    </xf>
    <xf numFmtId="2" fontId="47" fillId="0" borderId="1" xfId="0" applyNumberFormat="1" applyFont="1" applyBorder="1" applyAlignment="1">
      <alignment horizontal="right" vertical="center"/>
    </xf>
    <xf numFmtId="3" fontId="47" fillId="33" borderId="1" xfId="0" applyNumberFormat="1" applyFont="1" applyFill="1" applyBorder="1" applyAlignment="1">
      <alignment horizontal="right" vertical="center"/>
    </xf>
    <xf numFmtId="0" fontId="47" fillId="0" borderId="2" xfId="0" applyFont="1" applyBorder="1" applyAlignment="1">
      <alignment horizontal="right" vertical="center" wrapText="1"/>
    </xf>
    <xf numFmtId="0" fontId="48" fillId="33" borderId="1" xfId="0" applyFont="1" applyFill="1" applyBorder="1" applyAlignment="1">
      <alignment horizontal="left" vertical="center"/>
    </xf>
    <xf numFmtId="0" fontId="48" fillId="38" borderId="1" xfId="0" applyFont="1" applyFill="1" applyBorder="1" applyAlignment="1">
      <alignment wrapText="1"/>
    </xf>
    <xf numFmtId="4" fontId="47" fillId="2" borderId="1" xfId="6" applyNumberFormat="1" applyFont="1" applyFill="1" applyBorder="1" applyAlignment="1" applyProtection="1">
      <alignment horizontal="right" vertical="center"/>
      <protection locked="0"/>
    </xf>
    <xf numFmtId="0" fontId="6" fillId="0" borderId="26" xfId="0" applyFont="1" applyBorder="1" applyAlignment="1">
      <alignment wrapText="1"/>
    </xf>
    <xf numFmtId="0" fontId="6" fillId="0" borderId="38" xfId="0" applyFont="1" applyBorder="1" applyAlignment="1">
      <alignment wrapText="1"/>
    </xf>
    <xf numFmtId="1" fontId="85" fillId="0" borderId="1" xfId="0" applyNumberFormat="1" applyFont="1" applyBorder="1" applyAlignment="1">
      <alignment wrapText="1"/>
    </xf>
    <xf numFmtId="0" fontId="65" fillId="0" borderId="0" xfId="1" applyFont="1" applyAlignment="1">
      <alignment vertical="center"/>
    </xf>
    <xf numFmtId="49" fontId="47" fillId="2" borderId="38" xfId="5" applyNumberFormat="1" applyFont="1" applyFill="1" applyBorder="1" applyAlignment="1">
      <alignment horizontal="center" vertical="center" wrapText="1"/>
    </xf>
    <xf numFmtId="3" fontId="72" fillId="2" borderId="39" xfId="7" applyNumberFormat="1" applyFont="1" applyFill="1" applyBorder="1" applyAlignment="1" applyProtection="1">
      <alignment vertical="center" wrapText="1"/>
      <protection locked="0"/>
    </xf>
    <xf numFmtId="3" fontId="72" fillId="2" borderId="39" xfId="5" applyNumberFormat="1" applyFont="1" applyFill="1" applyBorder="1" applyAlignment="1" applyProtection="1">
      <alignment vertical="center" wrapText="1"/>
      <protection locked="0"/>
    </xf>
    <xf numFmtId="3" fontId="86" fillId="0" borderId="40" xfId="0" applyNumberFormat="1" applyFont="1" applyBorder="1"/>
    <xf numFmtId="3" fontId="87" fillId="33" borderId="40" xfId="0" applyNumberFormat="1" applyFont="1" applyFill="1" applyBorder="1" applyAlignment="1">
      <alignment wrapText="1"/>
    </xf>
    <xf numFmtId="0" fontId="87" fillId="33" borderId="8" xfId="0" applyFont="1" applyFill="1" applyBorder="1" applyAlignment="1">
      <alignment wrapText="1"/>
    </xf>
    <xf numFmtId="3" fontId="69" fillId="0" borderId="1" xfId="1" applyNumberFormat="1" applyFont="1" applyBorder="1" applyAlignment="1" applyProtection="1">
      <alignment horizontal="center" vertical="center"/>
      <protection locked="0"/>
    </xf>
    <xf numFmtId="49" fontId="72" fillId="36" borderId="1" xfId="1" applyNumberFormat="1" applyFont="1" applyFill="1" applyBorder="1" applyAlignment="1">
      <alignment vertical="center"/>
    </xf>
    <xf numFmtId="49" fontId="69" fillId="36" borderId="1" xfId="1" applyNumberFormat="1" applyFont="1" applyFill="1" applyBorder="1" applyAlignment="1">
      <alignment vertical="center"/>
    </xf>
    <xf numFmtId="49" fontId="69" fillId="37" borderId="6" xfId="1" applyNumberFormat="1" applyFont="1" applyFill="1" applyBorder="1" applyAlignment="1">
      <alignment horizontal="left" vertical="center" wrapText="1"/>
    </xf>
    <xf numFmtId="49" fontId="34" fillId="37" borderId="1" xfId="1467" applyNumberFormat="1" applyFont="1" applyFill="1" applyBorder="1" applyAlignment="1" applyProtection="1">
      <alignment horizontal="left" vertical="center" wrapText="1"/>
      <protection locked="0"/>
    </xf>
    <xf numFmtId="49" fontId="72" fillId="0" borderId="1" xfId="1" applyNumberFormat="1" applyFont="1" applyBorder="1" applyAlignment="1">
      <alignment horizontal="center" vertical="center" wrapText="1"/>
    </xf>
    <xf numFmtId="49" fontId="68" fillId="37" borderId="1" xfId="1" applyNumberFormat="1" applyFont="1" applyFill="1" applyBorder="1" applyAlignment="1">
      <alignment horizontal="left" vertical="center" wrapText="1"/>
    </xf>
    <xf numFmtId="49" fontId="34" fillId="37" borderId="4" xfId="0" applyNumberFormat="1" applyFont="1" applyFill="1" applyBorder="1" applyAlignment="1">
      <alignment horizontal="left" vertical="center" wrapText="1" shrinkToFit="1"/>
    </xf>
    <xf numFmtId="49" fontId="34" fillId="37" borderId="1" xfId="6" applyNumberFormat="1" applyFont="1" applyFill="1" applyBorder="1" applyAlignment="1">
      <alignment horizontal="left" vertical="center" wrapText="1"/>
    </xf>
    <xf numFmtId="0" fontId="68" fillId="0" borderId="0" xfId="0" applyFont="1" applyAlignment="1">
      <alignment horizontal="left" vertical="center" wrapText="1"/>
    </xf>
    <xf numFmtId="0" fontId="84" fillId="0" borderId="28" xfId="0" applyFont="1" applyBorder="1" applyAlignment="1">
      <alignment horizontal="right"/>
    </xf>
    <xf numFmtId="0" fontId="84" fillId="0" borderId="41" xfId="0" applyFont="1" applyBorder="1"/>
    <xf numFmtId="0" fontId="83" fillId="33" borderId="27" xfId="0" applyFont="1" applyFill="1" applyBorder="1" applyAlignment="1">
      <alignment wrapText="1"/>
    </xf>
    <xf numFmtId="3" fontId="65" fillId="0" borderId="6" xfId="1" applyNumberFormat="1" applyFont="1" applyBorder="1" applyAlignment="1">
      <alignment vertical="center" wrapText="1"/>
    </xf>
    <xf numFmtId="0" fontId="85" fillId="0" borderId="42" xfId="0" applyFont="1" applyBorder="1"/>
    <xf numFmtId="0" fontId="85" fillId="0" borderId="43" xfId="0" applyFont="1" applyBorder="1"/>
    <xf numFmtId="0" fontId="85" fillId="0" borderId="44" xfId="0" applyFont="1" applyBorder="1"/>
    <xf numFmtId="0" fontId="89" fillId="0" borderId="45" xfId="0" applyFont="1" applyBorder="1"/>
    <xf numFmtId="0" fontId="83" fillId="0" borderId="46" xfId="1" applyFont="1" applyBorder="1" applyAlignment="1">
      <alignment vertical="center" wrapText="1"/>
    </xf>
    <xf numFmtId="3" fontId="47" fillId="2" borderId="1" xfId="0" applyNumberFormat="1" applyFont="1" applyFill="1" applyBorder="1" applyAlignment="1">
      <alignment horizontal="right" vertical="center" wrapText="1"/>
    </xf>
    <xf numFmtId="3" fontId="59" fillId="37" borderId="1" xfId="0" applyNumberFormat="1" applyFont="1" applyFill="1" applyBorder="1" applyAlignment="1" applyProtection="1">
      <alignment horizontal="left" vertical="center" wrapText="1"/>
      <protection locked="0"/>
    </xf>
    <xf numFmtId="3" fontId="59" fillId="37" borderId="4" xfId="0" applyNumberFormat="1" applyFont="1" applyFill="1" applyBorder="1" applyAlignment="1">
      <alignment horizontal="center" vertical="center" wrapText="1"/>
    </xf>
    <xf numFmtId="3" fontId="59" fillId="31" borderId="25" xfId="0" applyNumberFormat="1" applyFont="1" applyFill="1" applyBorder="1" applyAlignment="1">
      <alignment horizontal="left" vertical="center" wrapText="1"/>
    </xf>
    <xf numFmtId="3" fontId="59" fillId="29" borderId="25" xfId="0" applyNumberFormat="1" applyFont="1" applyFill="1" applyBorder="1" applyAlignment="1">
      <alignment horizontal="left" vertical="center" wrapText="1"/>
    </xf>
    <xf numFmtId="3" fontId="59" fillId="0" borderId="4" xfId="0" applyNumberFormat="1" applyFont="1" applyBorder="1" applyAlignment="1">
      <alignment horizontal="center" vertical="center" wrapText="1"/>
    </xf>
    <xf numFmtId="3" fontId="59" fillId="0" borderId="1" xfId="0" applyNumberFormat="1" applyFont="1" applyBorder="1" applyAlignment="1" applyProtection="1">
      <alignment horizontal="left" vertical="center" wrapText="1"/>
      <protection locked="0"/>
    </xf>
    <xf numFmtId="3" fontId="59" fillId="28" borderId="25" xfId="0" applyNumberFormat="1" applyFont="1" applyFill="1" applyBorder="1" applyAlignment="1">
      <alignment vertical="center" wrapText="1"/>
    </xf>
    <xf numFmtId="3" fontId="59" fillId="28" borderId="25" xfId="0" applyNumberFormat="1" applyFont="1" applyFill="1" applyBorder="1" applyAlignment="1">
      <alignment horizontal="left" vertical="center" wrapText="1"/>
    </xf>
    <xf numFmtId="3" fontId="59" fillId="29" borderId="1" xfId="0" applyNumberFormat="1" applyFont="1" applyFill="1" applyBorder="1" applyAlignment="1">
      <alignment horizontal="right" vertical="center" wrapText="1"/>
    </xf>
    <xf numFmtId="3" fontId="59" fillId="0" borderId="1" xfId="0" applyNumberFormat="1" applyFont="1" applyBorder="1" applyAlignment="1">
      <alignment horizontal="right" vertical="center" wrapText="1"/>
    </xf>
    <xf numFmtId="3" fontId="59" fillId="2" borderId="1" xfId="0" applyNumberFormat="1" applyFont="1" applyFill="1" applyBorder="1" applyAlignment="1">
      <alignment horizontal="right" vertical="center" wrapText="1"/>
    </xf>
    <xf numFmtId="3" fontId="59" fillId="2" borderId="1" xfId="0" applyNumberFormat="1" applyFont="1" applyFill="1" applyBorder="1" applyAlignment="1" applyProtection="1">
      <alignment horizontal="left" vertical="center" wrapText="1"/>
      <protection locked="0"/>
    </xf>
    <xf numFmtId="3" fontId="59" fillId="0" borderId="1" xfId="0" applyNumberFormat="1" applyFont="1" applyBorder="1" applyAlignment="1">
      <alignment vertical="center" wrapText="1"/>
    </xf>
    <xf numFmtId="3" fontId="59" fillId="28" borderId="1" xfId="0" applyNumberFormat="1" applyFont="1" applyFill="1" applyBorder="1" applyAlignment="1">
      <alignment vertical="center" wrapText="1"/>
    </xf>
    <xf numFmtId="3" fontId="59" fillId="2" borderId="4" xfId="0" applyNumberFormat="1" applyFont="1" applyFill="1" applyBorder="1" applyAlignment="1">
      <alignment horizontal="center" vertical="center" wrapText="1"/>
    </xf>
    <xf numFmtId="3" fontId="59" fillId="30" borderId="25" xfId="0" applyNumberFormat="1" applyFont="1" applyFill="1" applyBorder="1" applyAlignment="1">
      <alignment horizontal="left" vertical="center" wrapText="1"/>
    </xf>
    <xf numFmtId="0" fontId="59" fillId="0" borderId="1" xfId="0" applyFont="1" applyBorder="1" applyAlignment="1">
      <alignment horizontal="center" vertical="center"/>
    </xf>
    <xf numFmtId="49" fontId="59" fillId="28" borderId="25" xfId="6" applyNumberFormat="1" applyFont="1" applyFill="1" applyBorder="1" applyAlignment="1">
      <alignment horizontal="left" vertical="center"/>
    </xf>
    <xf numFmtId="49" fontId="59" fillId="28" borderId="25" xfId="6" applyNumberFormat="1" applyFont="1" applyFill="1" applyBorder="1" applyAlignment="1">
      <alignment horizontal="left" vertical="center" wrapText="1"/>
    </xf>
    <xf numFmtId="49" fontId="59" fillId="28" borderId="25" xfId="0" applyNumberFormat="1" applyFont="1" applyFill="1" applyBorder="1" applyAlignment="1">
      <alignment horizontal="left" vertical="center"/>
    </xf>
    <xf numFmtId="3" fontId="59" fillId="28" borderId="1" xfId="0" applyNumberFormat="1" applyFont="1" applyFill="1" applyBorder="1" applyAlignment="1">
      <alignment horizontal="right" vertical="center"/>
    </xf>
    <xf numFmtId="49" fontId="59" fillId="0" borderId="1" xfId="0" applyNumberFormat="1" applyFont="1" applyBorder="1" applyAlignment="1" applyProtection="1">
      <alignment horizontal="left" vertical="center"/>
      <protection locked="0"/>
    </xf>
    <xf numFmtId="49" fontId="59" fillId="0" borderId="4" xfId="0" applyNumberFormat="1" applyFont="1" applyBorder="1" applyAlignment="1">
      <alignment horizontal="center" vertical="center"/>
    </xf>
    <xf numFmtId="49" fontId="59" fillId="0" borderId="1" xfId="6" applyNumberFormat="1" applyFont="1" applyBorder="1" applyAlignment="1" applyProtection="1">
      <alignment horizontal="left" vertical="center"/>
      <protection locked="0"/>
    </xf>
    <xf numFmtId="49" fontId="59" fillId="31" borderId="0" xfId="0" applyNumberFormat="1" applyFont="1" applyFill="1" applyAlignment="1">
      <alignment horizontal="left" vertical="center"/>
    </xf>
    <xf numFmtId="49" fontId="59" fillId="2" borderId="25" xfId="6" applyNumberFormat="1" applyFont="1" applyFill="1" applyBorder="1" applyAlignment="1">
      <alignment horizontal="left" vertical="center" wrapText="1"/>
    </xf>
    <xf numFmtId="49" fontId="59" fillId="2" borderId="4" xfId="6" applyNumberFormat="1" applyFont="1" applyFill="1" applyBorder="1" applyAlignment="1">
      <alignment horizontal="center" vertical="center" wrapText="1"/>
    </xf>
    <xf numFmtId="49" fontId="59" fillId="0" borderId="4" xfId="6" applyNumberFormat="1" applyFont="1" applyBorder="1" applyAlignment="1">
      <alignment horizontal="left" vertical="center" wrapText="1"/>
    </xf>
    <xf numFmtId="49" fontId="59" fillId="2" borderId="4" xfId="6" applyNumberFormat="1" applyFont="1" applyFill="1" applyBorder="1" applyAlignment="1">
      <alignment horizontal="center" vertical="center"/>
    </xf>
    <xf numFmtId="49" fontId="59" fillId="0" borderId="4" xfId="6" applyNumberFormat="1" applyFont="1" applyBorder="1" applyAlignment="1">
      <alignment horizontal="center" vertical="center"/>
    </xf>
    <xf numFmtId="49" fontId="59" fillId="37" borderId="1" xfId="6" applyNumberFormat="1" applyFont="1" applyFill="1" applyBorder="1" applyAlignment="1" applyProtection="1">
      <alignment horizontal="left" vertical="center" wrapText="1"/>
      <protection locked="0"/>
    </xf>
    <xf numFmtId="49" fontId="59" fillId="0" borderId="1" xfId="6" applyNumberFormat="1" applyFont="1" applyBorder="1" applyAlignment="1" applyProtection="1">
      <alignment horizontal="left" vertical="center" wrapText="1"/>
      <protection locked="0"/>
    </xf>
    <xf numFmtId="49" fontId="59" fillId="0" borderId="1" xfId="6" applyNumberFormat="1" applyFont="1" applyBorder="1" applyAlignment="1">
      <alignment horizontal="left" vertical="center" wrapText="1"/>
    </xf>
    <xf numFmtId="3" fontId="59" fillId="0" borderId="1" xfId="0" applyNumberFormat="1" applyFont="1" applyBorder="1" applyAlignment="1">
      <alignment horizontal="right" vertical="center"/>
    </xf>
    <xf numFmtId="3" fontId="59" fillId="31" borderId="3" xfId="6" applyNumberFormat="1" applyFont="1" applyFill="1" applyBorder="1" applyAlignment="1">
      <alignment horizontal="center" vertical="center"/>
    </xf>
    <xf numFmtId="49" fontId="59" fillId="28" borderId="1" xfId="12" applyNumberFormat="1" applyFont="1" applyFill="1" applyBorder="1" applyAlignment="1" applyProtection="1">
      <alignment horizontal="left" vertical="center" wrapText="1"/>
    </xf>
    <xf numFmtId="3" fontId="59" fillId="28" borderId="3" xfId="6" applyNumberFormat="1" applyFont="1" applyFill="1" applyBorder="1" applyAlignment="1">
      <alignment horizontal="center" vertical="center"/>
    </xf>
    <xf numFmtId="3" fontId="59" fillId="31" borderId="1" xfId="0" applyNumberFormat="1" applyFont="1" applyFill="1" applyBorder="1" applyAlignment="1">
      <alignment horizontal="center" vertical="center"/>
    </xf>
    <xf numFmtId="49" fontId="59" fillId="2" borderId="1" xfId="12" applyNumberFormat="1" applyFont="1" applyFill="1" applyBorder="1" applyAlignment="1" applyProtection="1">
      <alignment horizontal="left" vertical="center"/>
    </xf>
    <xf numFmtId="49" fontId="59" fillId="0" borderId="1" xfId="12" applyNumberFormat="1" applyFont="1" applyFill="1" applyBorder="1" applyAlignment="1" applyProtection="1">
      <alignment horizontal="left" vertical="center"/>
    </xf>
    <xf numFmtId="49" fontId="59" fillId="0" borderId="1" xfId="12" applyNumberFormat="1" applyFont="1" applyFill="1" applyBorder="1" applyAlignment="1" applyProtection="1">
      <alignment horizontal="left" vertical="center" wrapText="1"/>
    </xf>
    <xf numFmtId="49" fontId="59" fillId="37" borderId="1" xfId="12" applyNumberFormat="1" applyFont="1" applyFill="1" applyBorder="1" applyAlignment="1" applyProtection="1">
      <alignment horizontal="left" vertical="center" wrapText="1"/>
    </xf>
    <xf numFmtId="49" fontId="69" fillId="37" borderId="1" xfId="1" applyNumberFormat="1" applyFont="1" applyFill="1" applyBorder="1" applyAlignment="1">
      <alignment vertical="center" wrapText="1"/>
    </xf>
    <xf numFmtId="3" fontId="59" fillId="28" borderId="1" xfId="6" applyNumberFormat="1" applyFont="1" applyFill="1" applyBorder="1" applyAlignment="1">
      <alignment horizontal="center" vertical="center"/>
    </xf>
    <xf numFmtId="49" fontId="59" fillId="37" borderId="1" xfId="12" applyNumberFormat="1" applyFont="1" applyFill="1" applyBorder="1" applyAlignment="1">
      <alignment horizontal="left" vertical="center" wrapText="1"/>
    </xf>
    <xf numFmtId="49" fontId="51" fillId="37" borderId="1" xfId="12" applyNumberFormat="1" applyFont="1" applyFill="1" applyBorder="1" applyAlignment="1">
      <alignment horizontal="left" vertical="center" wrapText="1"/>
    </xf>
    <xf numFmtId="0" fontId="6" fillId="0" borderId="47" xfId="0" applyFont="1" applyBorder="1" applyAlignment="1">
      <alignment wrapText="1"/>
    </xf>
    <xf numFmtId="49" fontId="59" fillId="37" borderId="6" xfId="6" applyNumberFormat="1" applyFont="1" applyFill="1" applyBorder="1" applyAlignment="1">
      <alignment horizontal="center" vertical="center" wrapText="1"/>
    </xf>
    <xf numFmtId="0" fontId="92" fillId="0" borderId="1" xfId="0" applyFont="1" applyBorder="1"/>
    <xf numFmtId="0" fontId="59" fillId="38" borderId="1" xfId="0" applyFont="1" applyFill="1" applyBorder="1" applyAlignment="1">
      <alignment wrapText="1"/>
    </xf>
    <xf numFmtId="9" fontId="51" fillId="0" borderId="5" xfId="12" applyFont="1" applyFill="1" applyBorder="1" applyAlignment="1" applyProtection="1">
      <alignment horizontal="center" vertical="center"/>
    </xf>
    <xf numFmtId="9" fontId="51" fillId="28" borderId="5" xfId="12" applyFont="1" applyFill="1" applyBorder="1" applyAlignment="1" applyProtection="1">
      <alignment horizontal="center" vertical="center"/>
    </xf>
    <xf numFmtId="9" fontId="51" fillId="28" borderId="5" xfId="12" applyFont="1" applyFill="1" applyBorder="1" applyAlignment="1" applyProtection="1">
      <alignment horizontal="center" vertical="center" wrapText="1"/>
    </xf>
    <xf numFmtId="9" fontId="48" fillId="0" borderId="5" xfId="12" applyFont="1" applyFill="1" applyBorder="1" applyAlignment="1" applyProtection="1">
      <alignment horizontal="center" vertical="center"/>
      <protection locked="0"/>
    </xf>
    <xf numFmtId="49" fontId="34" fillId="0" borderId="26" xfId="6" applyNumberFormat="1" applyFont="1" applyBorder="1" applyAlignment="1">
      <alignment vertical="center" wrapText="1"/>
    </xf>
    <xf numFmtId="49" fontId="34" fillId="37" borderId="39" xfId="6" applyNumberFormat="1" applyFont="1" applyFill="1" applyBorder="1" applyAlignment="1">
      <alignment vertical="center" wrapText="1"/>
    </xf>
    <xf numFmtId="49" fontId="34" fillId="0" borderId="48" xfId="6" applyNumberFormat="1" applyFont="1" applyBorder="1" applyAlignment="1">
      <alignment vertical="top" wrapText="1"/>
    </xf>
    <xf numFmtId="49" fontId="34" fillId="0" borderId="40" xfId="6" applyNumberFormat="1" applyFont="1" applyBorder="1" applyAlignment="1">
      <alignment vertical="top" wrapText="1"/>
    </xf>
    <xf numFmtId="3" fontId="68" fillId="37" borderId="26" xfId="0" applyNumberFormat="1" applyFont="1" applyFill="1" applyBorder="1" applyAlignment="1">
      <alignment vertical="top" wrapText="1"/>
    </xf>
    <xf numFmtId="9" fontId="48" fillId="0" borderId="5" xfId="12" applyFont="1" applyFill="1" applyBorder="1" applyAlignment="1" applyProtection="1">
      <alignment horizontal="center" vertical="center" wrapText="1"/>
    </xf>
    <xf numFmtId="3" fontId="68" fillId="39" borderId="26" xfId="0" applyNumberFormat="1" applyFont="1" applyFill="1" applyBorder="1" applyAlignment="1">
      <alignment vertical="top" wrapText="1"/>
    </xf>
    <xf numFmtId="49" fontId="69" fillId="0" borderId="1" xfId="1" applyNumberFormat="1" applyFont="1" applyBorder="1" applyAlignment="1">
      <alignment horizontal="left" vertical="center" wrapText="1"/>
    </xf>
    <xf numFmtId="3" fontId="86" fillId="0" borderId="6" xfId="0" applyNumberFormat="1" applyFont="1" applyBorder="1" applyAlignment="1">
      <alignment horizontal="right"/>
    </xf>
    <xf numFmtId="0" fontId="86" fillId="0" borderId="2" xfId="0" applyFont="1" applyBorder="1" applyAlignment="1">
      <alignment horizontal="right"/>
    </xf>
    <xf numFmtId="3" fontId="86" fillId="0" borderId="2" xfId="0" applyNumberFormat="1" applyFont="1" applyBorder="1" applyAlignment="1">
      <alignment horizontal="right"/>
    </xf>
    <xf numFmtId="1" fontId="87" fillId="0" borderId="3" xfId="0" applyNumberFormat="1" applyFont="1" applyBorder="1" applyAlignment="1">
      <alignment horizontal="right"/>
    </xf>
    <xf numFmtId="1" fontId="87" fillId="0" borderId="2" xfId="0" applyNumberFormat="1" applyFont="1" applyBorder="1" applyAlignment="1">
      <alignment horizontal="right"/>
    </xf>
    <xf numFmtId="1" fontId="86" fillId="0" borderId="2" xfId="0" applyNumberFormat="1" applyFont="1" applyBorder="1" applyAlignment="1">
      <alignment horizontal="right"/>
    </xf>
    <xf numFmtId="1" fontId="87" fillId="0" borderId="42" xfId="0" applyNumberFormat="1" applyFont="1" applyBorder="1" applyAlignment="1">
      <alignment horizontal="right"/>
    </xf>
    <xf numFmtId="3" fontId="72" fillId="2" borderId="1" xfId="0" applyNumberFormat="1" applyFont="1" applyFill="1" applyBorder="1" applyAlignment="1" applyProtection="1">
      <alignment vertical="center" wrapText="1"/>
      <protection locked="0"/>
    </xf>
    <xf numFmtId="3" fontId="87" fillId="2" borderId="1" xfId="0" applyNumberFormat="1" applyFont="1" applyFill="1" applyBorder="1" applyAlignment="1" applyProtection="1">
      <alignment vertical="center" wrapText="1"/>
      <protection locked="0"/>
    </xf>
    <xf numFmtId="1" fontId="87" fillId="0" borderId="1" xfId="0" applyNumberFormat="1" applyFont="1" applyBorder="1" applyAlignment="1">
      <alignment wrapText="1"/>
    </xf>
    <xf numFmtId="3" fontId="87" fillId="2" borderId="3" xfId="0" applyNumberFormat="1" applyFont="1" applyFill="1" applyBorder="1" applyAlignment="1" applyProtection="1">
      <alignment vertical="center" wrapText="1"/>
      <protection locked="0"/>
    </xf>
    <xf numFmtId="3" fontId="72" fillId="2" borderId="4" xfId="0" applyNumberFormat="1" applyFont="1" applyFill="1" applyBorder="1" applyAlignment="1" applyProtection="1">
      <alignment vertical="center" wrapText="1"/>
      <protection locked="0"/>
    </xf>
    <xf numFmtId="1" fontId="87" fillId="0" borderId="26" xfId="1" applyNumberFormat="1" applyFont="1" applyBorder="1" applyAlignment="1">
      <alignment vertical="center" wrapText="1"/>
    </xf>
    <xf numFmtId="3" fontId="87" fillId="2" borderId="2" xfId="0" applyNumberFormat="1" applyFont="1" applyFill="1" applyBorder="1" applyAlignment="1" applyProtection="1">
      <alignment vertical="center" wrapText="1"/>
      <protection locked="0"/>
    </xf>
    <xf numFmtId="0" fontId="84" fillId="0" borderId="50" xfId="0" applyFont="1" applyBorder="1" applyAlignment="1">
      <alignment horizontal="right"/>
    </xf>
    <xf numFmtId="0" fontId="86" fillId="0" borderId="50" xfId="0" applyFont="1" applyBorder="1"/>
    <xf numFmtId="0" fontId="84" fillId="0" borderId="39" xfId="0" applyFont="1" applyBorder="1" applyAlignment="1">
      <alignment horizontal="right"/>
    </xf>
    <xf numFmtId="0" fontId="84" fillId="0" borderId="46" xfId="0" applyFont="1" applyBorder="1" applyAlignment="1">
      <alignment horizontal="right"/>
    </xf>
    <xf numFmtId="0" fontId="86" fillId="0" borderId="28" xfId="0" applyFont="1" applyBorder="1" applyAlignment="1">
      <alignment horizontal="right"/>
    </xf>
    <xf numFmtId="3" fontId="72" fillId="2" borderId="39" xfId="0" applyNumberFormat="1" applyFont="1" applyFill="1" applyBorder="1" applyAlignment="1" applyProtection="1">
      <alignment vertical="center" wrapText="1"/>
      <protection locked="0"/>
    </xf>
    <xf numFmtId="3" fontId="72" fillId="28" borderId="1" xfId="0" applyNumberFormat="1" applyFont="1" applyFill="1" applyBorder="1" applyAlignment="1" applyProtection="1">
      <alignment vertical="center" wrapText="1"/>
      <protection locked="0"/>
    </xf>
    <xf numFmtId="3" fontId="69" fillId="28" borderId="1" xfId="0" applyNumberFormat="1" applyFont="1" applyFill="1" applyBorder="1" applyAlignment="1" applyProtection="1">
      <alignment vertical="center" wrapText="1"/>
      <protection locked="0"/>
    </xf>
    <xf numFmtId="3" fontId="72" fillId="31" borderId="1" xfId="1" applyNumberFormat="1" applyFont="1" applyFill="1" applyBorder="1" applyAlignment="1">
      <alignment horizontal="center" vertical="center" wrapText="1"/>
    </xf>
    <xf numFmtId="0" fontId="6" fillId="0" borderId="26" xfId="0" applyFont="1" applyBorder="1"/>
    <xf numFmtId="3" fontId="51" fillId="0" borderId="1" xfId="0" applyNumberFormat="1" applyFont="1" applyBorder="1" applyAlignment="1">
      <alignment horizontal="center" vertical="center" wrapText="1"/>
    </xf>
    <xf numFmtId="3" fontId="59" fillId="37" borderId="4" xfId="0" applyNumberFormat="1" applyFont="1" applyFill="1" applyBorder="1" applyAlignment="1">
      <alignment horizontal="center" vertical="center" wrapText="1"/>
    </xf>
    <xf numFmtId="3" fontId="59" fillId="37" borderId="7" xfId="0" applyNumberFormat="1" applyFont="1" applyFill="1" applyBorder="1" applyAlignment="1">
      <alignment horizontal="center" vertical="center" wrapText="1"/>
    </xf>
    <xf numFmtId="3" fontId="59" fillId="37" borderId="6" xfId="0" applyNumberFormat="1" applyFont="1" applyFill="1" applyBorder="1" applyAlignment="1">
      <alignment horizontal="center" vertical="center" wrapText="1"/>
    </xf>
    <xf numFmtId="3" fontId="59" fillId="0" borderId="4" xfId="0" applyNumberFormat="1" applyFont="1" applyBorder="1" applyAlignment="1" applyProtection="1">
      <alignment horizontal="center" vertical="center" wrapText="1"/>
      <protection locked="0"/>
    </xf>
    <xf numFmtId="3" fontId="59" fillId="0" borderId="7" xfId="0" applyNumberFormat="1" applyFont="1" applyBorder="1" applyAlignment="1" applyProtection="1">
      <alignment horizontal="center" vertical="center" wrapText="1"/>
      <protection locked="0"/>
    </xf>
    <xf numFmtId="3" fontId="59" fillId="0" borderId="6" xfId="0" applyNumberFormat="1" applyFont="1" applyBorder="1" applyAlignment="1" applyProtection="1">
      <alignment horizontal="center" vertical="center" wrapText="1"/>
      <protection locked="0"/>
    </xf>
    <xf numFmtId="3" fontId="59" fillId="0" borderId="1" xfId="0" applyNumberFormat="1" applyFont="1" applyBorder="1" applyAlignment="1">
      <alignment horizontal="center" vertical="center" wrapText="1"/>
    </xf>
    <xf numFmtId="3" fontId="51" fillId="0" borderId="4" xfId="0" applyNumberFormat="1" applyFont="1" applyBorder="1" applyAlignment="1" applyProtection="1">
      <alignment horizontal="center" vertical="center" wrapText="1"/>
      <protection locked="0"/>
    </xf>
    <xf numFmtId="3" fontId="51" fillId="0" borderId="7" xfId="0" applyNumberFormat="1" applyFont="1" applyBorder="1" applyAlignment="1" applyProtection="1">
      <alignment horizontal="center" vertical="center" wrapText="1"/>
      <protection locked="0"/>
    </xf>
    <xf numFmtId="3" fontId="51" fillId="0" borderId="6" xfId="0" applyNumberFormat="1" applyFont="1" applyBorder="1" applyAlignment="1" applyProtection="1">
      <alignment horizontal="center" vertical="center" wrapText="1"/>
      <protection locked="0"/>
    </xf>
    <xf numFmtId="3" fontId="48" fillId="37" borderId="4" xfId="0" applyNumberFormat="1" applyFont="1" applyFill="1" applyBorder="1" applyAlignment="1">
      <alignment horizontal="center" vertical="center" wrapText="1"/>
    </xf>
    <xf numFmtId="3" fontId="48" fillId="37" borderId="7" xfId="0" applyNumberFormat="1" applyFont="1" applyFill="1" applyBorder="1" applyAlignment="1">
      <alignment horizontal="center" vertical="center" wrapText="1"/>
    </xf>
    <xf numFmtId="3" fontId="48" fillId="37" borderId="6" xfId="0" applyNumberFormat="1" applyFont="1" applyFill="1" applyBorder="1" applyAlignment="1">
      <alignment horizontal="center" vertical="center" wrapText="1"/>
    </xf>
    <xf numFmtId="3" fontId="71" fillId="37" borderId="4" xfId="0" applyNumberFormat="1" applyFont="1" applyFill="1" applyBorder="1" applyAlignment="1">
      <alignment horizontal="center" vertical="center" wrapText="1"/>
    </xf>
    <xf numFmtId="3" fontId="59" fillId="0" borderId="4" xfId="0" applyNumberFormat="1" applyFont="1" applyBorder="1" applyAlignment="1">
      <alignment horizontal="center" vertical="center" wrapText="1"/>
    </xf>
    <xf numFmtId="3" fontId="59" fillId="0" borderId="7" xfId="0" applyNumberFormat="1" applyFont="1" applyBorder="1" applyAlignment="1">
      <alignment horizontal="center" vertical="center" wrapText="1"/>
    </xf>
    <xf numFmtId="3" fontId="59" fillId="0" borderId="6" xfId="0" applyNumberFormat="1" applyFont="1" applyBorder="1" applyAlignment="1">
      <alignment horizontal="center" vertical="center" wrapText="1"/>
    </xf>
    <xf numFmtId="3" fontId="59" fillId="37" borderId="1" xfId="0" applyNumberFormat="1" applyFont="1" applyFill="1" applyBorder="1" applyAlignment="1">
      <alignment horizontal="center" vertical="center" wrapText="1"/>
    </xf>
    <xf numFmtId="3" fontId="51" fillId="37" borderId="4" xfId="0" applyNumberFormat="1" applyFont="1" applyFill="1" applyBorder="1" applyAlignment="1">
      <alignment horizontal="center" vertical="center" wrapText="1"/>
    </xf>
    <xf numFmtId="3" fontId="51" fillId="37" borderId="7" xfId="0" applyNumberFormat="1" applyFont="1" applyFill="1" applyBorder="1" applyAlignment="1">
      <alignment horizontal="center" vertical="center" wrapText="1"/>
    </xf>
    <xf numFmtId="3" fontId="51" fillId="37" borderId="6" xfId="0" applyNumberFormat="1" applyFont="1" applyFill="1" applyBorder="1" applyAlignment="1">
      <alignment horizontal="center" vertical="center" wrapText="1"/>
    </xf>
    <xf numFmtId="0" fontId="58" fillId="37" borderId="4" xfId="0" applyFont="1" applyFill="1" applyBorder="1" applyAlignment="1">
      <alignment vertical="center" wrapText="1"/>
    </xf>
    <xf numFmtId="0" fontId="58" fillId="37" borderId="7" xfId="0" applyFont="1" applyFill="1" applyBorder="1" applyAlignment="1">
      <alignment vertical="center" wrapText="1"/>
    </xf>
    <xf numFmtId="0" fontId="58" fillId="37" borderId="27" xfId="0" applyFont="1" applyFill="1" applyBorder="1" applyAlignment="1">
      <alignment vertical="center" wrapText="1"/>
    </xf>
    <xf numFmtId="3" fontId="48" fillId="0" borderId="4" xfId="0" applyNumberFormat="1" applyFont="1" applyBorder="1" applyAlignment="1">
      <alignment horizontal="center" vertical="center" wrapText="1"/>
    </xf>
    <xf numFmtId="3" fontId="48" fillId="0" borderId="7" xfId="0" applyNumberFormat="1" applyFont="1" applyBorder="1" applyAlignment="1">
      <alignment horizontal="center" vertical="center" wrapText="1"/>
    </xf>
    <xf numFmtId="3" fontId="48" fillId="0" borderId="6" xfId="0" applyNumberFormat="1" applyFont="1" applyBorder="1" applyAlignment="1">
      <alignment horizontal="center" vertical="center" wrapText="1"/>
    </xf>
    <xf numFmtId="3" fontId="51" fillId="0" borderId="4" xfId="0" applyNumberFormat="1" applyFont="1" applyBorder="1" applyAlignment="1">
      <alignment horizontal="center" vertical="center" wrapText="1"/>
    </xf>
    <xf numFmtId="3" fontId="51" fillId="0" borderId="7" xfId="0" applyNumberFormat="1" applyFont="1" applyBorder="1" applyAlignment="1">
      <alignment horizontal="center" vertical="center" wrapText="1"/>
    </xf>
    <xf numFmtId="3" fontId="51" fillId="0" borderId="6" xfId="0" applyNumberFormat="1" applyFont="1" applyBorder="1" applyAlignment="1">
      <alignment horizontal="center" vertical="center" wrapText="1"/>
    </xf>
    <xf numFmtId="3" fontId="70" fillId="0" borderId="4" xfId="0" applyNumberFormat="1" applyFont="1" applyBorder="1" applyAlignment="1">
      <alignment horizontal="center" vertical="center" wrapText="1"/>
    </xf>
    <xf numFmtId="3" fontId="58" fillId="0" borderId="4" xfId="0" applyNumberFormat="1" applyFont="1" applyBorder="1" applyAlignment="1">
      <alignment horizontal="center" vertical="center" wrapText="1"/>
    </xf>
    <xf numFmtId="3" fontId="58" fillId="0" borderId="7" xfId="0" applyNumberFormat="1" applyFont="1" applyBorder="1" applyAlignment="1">
      <alignment horizontal="center" vertical="center" wrapText="1"/>
    </xf>
    <xf numFmtId="3" fontId="58" fillId="0" borderId="6" xfId="0" applyNumberFormat="1" applyFont="1" applyBorder="1" applyAlignment="1">
      <alignment horizontal="center" vertical="center" wrapText="1"/>
    </xf>
    <xf numFmtId="3" fontId="48" fillId="37" borderId="4" xfId="0" applyNumberFormat="1" applyFont="1" applyFill="1" applyBorder="1" applyAlignment="1">
      <alignment horizontal="left" vertical="center" wrapText="1"/>
    </xf>
    <xf numFmtId="3" fontId="48" fillId="37" borderId="7" xfId="0" applyNumberFormat="1" applyFont="1" applyFill="1" applyBorder="1" applyAlignment="1">
      <alignment horizontal="left" vertical="center" wrapText="1"/>
    </xf>
    <xf numFmtId="3" fontId="48" fillId="37" borderId="6" xfId="0" applyNumberFormat="1" applyFont="1" applyFill="1" applyBorder="1" applyAlignment="1">
      <alignment horizontal="left" vertical="center" wrapText="1"/>
    </xf>
    <xf numFmtId="3" fontId="58" fillId="37" borderId="4" xfId="0" applyNumberFormat="1" applyFont="1" applyFill="1" applyBorder="1" applyAlignment="1">
      <alignment horizontal="center" vertical="center" wrapText="1"/>
    </xf>
    <xf numFmtId="3" fontId="58" fillId="37" borderId="7" xfId="0" applyNumberFormat="1" applyFont="1" applyFill="1" applyBorder="1" applyAlignment="1">
      <alignment horizontal="center" vertical="center" wrapText="1"/>
    </xf>
    <xf numFmtId="3" fontId="58" fillId="37" borderId="6" xfId="0" applyNumberFormat="1" applyFont="1" applyFill="1" applyBorder="1" applyAlignment="1">
      <alignment horizontal="center" vertical="center" wrapText="1"/>
    </xf>
    <xf numFmtId="3" fontId="52" fillId="0" borderId="0" xfId="0" applyNumberFormat="1" applyFont="1" applyAlignment="1">
      <alignment horizontal="left" vertical="center"/>
    </xf>
    <xf numFmtId="3" fontId="51" fillId="37" borderId="1" xfId="0" applyNumberFormat="1" applyFont="1" applyFill="1" applyBorder="1" applyAlignment="1">
      <alignment horizontal="center" vertical="center" wrapText="1"/>
    </xf>
    <xf numFmtId="3" fontId="51" fillId="2" borderId="4" xfId="0" applyNumberFormat="1" applyFont="1" applyFill="1" applyBorder="1" applyAlignment="1">
      <alignment horizontal="center" vertical="center" wrapText="1"/>
    </xf>
    <xf numFmtId="3" fontId="51" fillId="2" borderId="7" xfId="0" applyNumberFormat="1" applyFont="1" applyFill="1" applyBorder="1" applyAlignment="1">
      <alignment horizontal="center" vertical="center" wrapText="1"/>
    </xf>
    <xf numFmtId="3" fontId="51" fillId="2" borderId="6" xfId="0" applyNumberFormat="1" applyFont="1" applyFill="1" applyBorder="1" applyAlignment="1">
      <alignment horizontal="center" vertical="center" wrapText="1"/>
    </xf>
    <xf numFmtId="3" fontId="71" fillId="37" borderId="4" xfId="0" applyNumberFormat="1" applyFont="1" applyFill="1" applyBorder="1" applyAlignment="1">
      <alignment horizontal="left" vertical="center" wrapText="1"/>
    </xf>
    <xf numFmtId="3" fontId="47" fillId="0" borderId="0" xfId="0" applyNumberFormat="1" applyFont="1" applyAlignment="1">
      <alignment horizontal="left" vertical="top" wrapText="1"/>
    </xf>
    <xf numFmtId="3" fontId="47" fillId="0" borderId="0" xfId="0" applyNumberFormat="1" applyFont="1" applyAlignment="1">
      <alignment horizontal="left" vertical="center" wrapText="1"/>
    </xf>
    <xf numFmtId="3" fontId="47" fillId="0" borderId="0" xfId="0" applyNumberFormat="1" applyFont="1" applyAlignment="1">
      <alignment horizontal="left" vertical="center"/>
    </xf>
    <xf numFmtId="0" fontId="34" fillId="0" borderId="0" xfId="1467" applyFont="1" applyAlignment="1">
      <alignment horizontal="left" vertical="top" wrapText="1"/>
    </xf>
    <xf numFmtId="3" fontId="61" fillId="0" borderId="0" xfId="0" applyNumberFormat="1" applyFont="1" applyAlignment="1">
      <alignment horizontal="left" vertical="center"/>
    </xf>
    <xf numFmtId="0" fontId="34" fillId="0" borderId="0" xfId="1467" applyFont="1" applyAlignment="1">
      <alignment vertical="center" wrapText="1"/>
    </xf>
    <xf numFmtId="0" fontId="69" fillId="37" borderId="4" xfId="0" applyFont="1" applyFill="1" applyBorder="1" applyAlignment="1">
      <alignment horizontal="left" vertical="center" wrapText="1"/>
    </xf>
    <xf numFmtId="0" fontId="69" fillId="37" borderId="7" xfId="0" applyFont="1" applyFill="1" applyBorder="1" applyAlignment="1">
      <alignment horizontal="left" vertical="center" wrapText="1"/>
    </xf>
    <xf numFmtId="0" fontId="69" fillId="37" borderId="6" xfId="0" applyFont="1" applyFill="1" applyBorder="1" applyAlignment="1">
      <alignment horizontal="left" vertical="center" wrapText="1"/>
    </xf>
    <xf numFmtId="49" fontId="69" fillId="37" borderId="4" xfId="1" applyNumberFormat="1" applyFont="1" applyFill="1" applyBorder="1" applyAlignment="1">
      <alignment horizontal="left" vertical="center" wrapText="1"/>
    </xf>
    <xf numFmtId="49" fontId="72" fillId="37" borderId="7" xfId="1" applyNumberFormat="1" applyFont="1" applyFill="1" applyBorder="1" applyAlignment="1">
      <alignment horizontal="left" vertical="center" wrapText="1"/>
    </xf>
    <xf numFmtId="49" fontId="72" fillId="37" borderId="6" xfId="1" applyNumberFormat="1" applyFont="1" applyFill="1" applyBorder="1" applyAlignment="1">
      <alignment horizontal="left" vertical="center" wrapText="1"/>
    </xf>
    <xf numFmtId="49" fontId="72" fillId="0" borderId="4" xfId="1" applyNumberFormat="1" applyFont="1" applyBorder="1" applyAlignment="1">
      <alignment horizontal="center" vertical="center"/>
    </xf>
    <xf numFmtId="49" fontId="72" fillId="0" borderId="7" xfId="1" applyNumberFormat="1" applyFont="1" applyBorder="1" applyAlignment="1">
      <alignment horizontal="center" vertical="center"/>
    </xf>
    <xf numFmtId="49" fontId="69" fillId="37" borderId="7" xfId="1" applyNumberFormat="1" applyFont="1" applyFill="1" applyBorder="1" applyAlignment="1">
      <alignment horizontal="left" vertical="center" wrapText="1"/>
    </xf>
    <xf numFmtId="49" fontId="69" fillId="37" borderId="6" xfId="1" applyNumberFormat="1" applyFont="1" applyFill="1" applyBorder="1" applyAlignment="1">
      <alignment horizontal="left" vertical="center" wrapText="1"/>
    </xf>
    <xf numFmtId="49" fontId="69" fillId="0" borderId="4" xfId="1" applyNumberFormat="1" applyFont="1" applyBorder="1" applyAlignment="1">
      <alignment horizontal="left" vertical="center" wrapText="1"/>
    </xf>
    <xf numFmtId="49" fontId="69" fillId="0" borderId="7" xfId="1" applyNumberFormat="1" applyFont="1" applyBorder="1" applyAlignment="1">
      <alignment horizontal="left" vertical="center" wrapText="1"/>
    </xf>
    <xf numFmtId="49" fontId="69" fillId="0" borderId="6" xfId="1" applyNumberFormat="1" applyFont="1" applyBorder="1" applyAlignment="1">
      <alignment horizontal="left" vertical="center" wrapText="1"/>
    </xf>
    <xf numFmtId="0" fontId="68" fillId="0" borderId="4" xfId="0" applyFont="1" applyBorder="1" applyAlignment="1">
      <alignment wrapText="1"/>
    </xf>
    <xf numFmtId="0" fontId="68" fillId="0" borderId="7" xfId="0" applyFont="1" applyBorder="1" applyAlignment="1">
      <alignment wrapText="1"/>
    </xf>
    <xf numFmtId="0" fontId="68" fillId="0" borderId="27" xfId="0" applyFont="1" applyBorder="1" applyAlignment="1">
      <alignment wrapText="1"/>
    </xf>
    <xf numFmtId="49" fontId="69" fillId="0" borderId="4" xfId="1" applyNumberFormat="1" applyFont="1" applyBorder="1" applyAlignment="1">
      <alignment horizontal="center" vertical="center"/>
    </xf>
    <xf numFmtId="49" fontId="69" fillId="0" borderId="7" xfId="1" applyNumberFormat="1" applyFont="1" applyBorder="1" applyAlignment="1">
      <alignment horizontal="center" vertical="center"/>
    </xf>
    <xf numFmtId="49" fontId="69" fillId="0" borderId="6" xfId="1" applyNumberFormat="1" applyFont="1" applyBorder="1" applyAlignment="1">
      <alignment horizontal="center" vertical="center"/>
    </xf>
    <xf numFmtId="49" fontId="72" fillId="0" borderId="6" xfId="1" applyNumberFormat="1" applyFont="1" applyBorder="1" applyAlignment="1">
      <alignment horizontal="center" vertical="center"/>
    </xf>
    <xf numFmtId="0" fontId="47" fillId="0" borderId="0" xfId="1467" applyFont="1" applyAlignment="1">
      <alignment horizontal="left" vertical="top" wrapText="1"/>
    </xf>
    <xf numFmtId="0" fontId="69" fillId="0" borderId="0" xfId="1467" applyFont="1" applyAlignment="1">
      <alignment horizontal="left" vertical="top" wrapText="1"/>
    </xf>
    <xf numFmtId="49" fontId="72" fillId="28" borderId="4" xfId="1" applyNumberFormat="1" applyFont="1" applyFill="1" applyBorder="1" applyAlignment="1">
      <alignment horizontal="center" vertical="center"/>
    </xf>
    <xf numFmtId="0" fontId="47" fillId="2" borderId="5" xfId="1" applyFont="1" applyFill="1" applyBorder="1" applyAlignment="1" applyProtection="1">
      <alignment horizontal="center" vertical="center"/>
      <protection locked="0"/>
    </xf>
    <xf numFmtId="0" fontId="47" fillId="2" borderId="11" xfId="1" applyFont="1" applyFill="1" applyBorder="1" applyAlignment="1" applyProtection="1">
      <alignment horizontal="center" vertical="center"/>
      <protection locked="0"/>
    </xf>
    <xf numFmtId="0" fontId="69" fillId="2" borderId="11" xfId="1" applyFont="1" applyFill="1" applyBorder="1" applyAlignment="1" applyProtection="1">
      <alignment horizontal="center" vertical="center"/>
      <protection locked="0"/>
    </xf>
    <xf numFmtId="0" fontId="68" fillId="28" borderId="4" xfId="0" applyFont="1" applyFill="1" applyBorder="1" applyAlignment="1">
      <alignment horizontal="left" vertical="center" wrapText="1"/>
    </xf>
    <xf numFmtId="0" fontId="68" fillId="0" borderId="7" xfId="0" applyFont="1" applyBorder="1" applyAlignment="1">
      <alignment horizontal="left" vertical="center" wrapText="1"/>
    </xf>
    <xf numFmtId="0" fontId="68" fillId="0" borderId="27" xfId="0" applyFont="1" applyBorder="1" applyAlignment="1">
      <alignment horizontal="left" vertical="center" wrapText="1"/>
    </xf>
    <xf numFmtId="0" fontId="68" fillId="37" borderId="4" xfId="0" applyFont="1" applyFill="1" applyBorder="1" applyAlignment="1">
      <alignment horizontal="left" vertical="center" wrapText="1"/>
    </xf>
    <xf numFmtId="0" fontId="68" fillId="37" borderId="7" xfId="0" applyFont="1" applyFill="1" applyBorder="1" applyAlignment="1">
      <alignment horizontal="left" vertical="center" wrapText="1"/>
    </xf>
    <xf numFmtId="0" fontId="68" fillId="37" borderId="27" xfId="0" applyFont="1" applyFill="1" applyBorder="1" applyAlignment="1">
      <alignment horizontal="left" vertical="center" wrapText="1"/>
    </xf>
    <xf numFmtId="49" fontId="69" fillId="28" borderId="4" xfId="1" applyNumberFormat="1" applyFont="1" applyFill="1" applyBorder="1" applyAlignment="1">
      <alignment horizontal="center" vertical="center"/>
    </xf>
    <xf numFmtId="49" fontId="72" fillId="28" borderId="4" xfId="1" applyNumberFormat="1" applyFont="1" applyFill="1" applyBorder="1" applyAlignment="1">
      <alignment vertical="center"/>
    </xf>
    <xf numFmtId="49" fontId="72" fillId="0" borderId="7" xfId="1" applyNumberFormat="1" applyFont="1" applyBorder="1" applyAlignment="1">
      <alignment vertical="center"/>
    </xf>
    <xf numFmtId="49" fontId="72" fillId="0" borderId="6" xfId="1" applyNumberFormat="1" applyFont="1" applyBorder="1" applyAlignment="1">
      <alignment vertical="center"/>
    </xf>
    <xf numFmtId="49" fontId="68" fillId="0" borderId="1" xfId="1" applyNumberFormat="1" applyFont="1" applyBorder="1" applyAlignment="1">
      <alignment horizontal="left" vertical="center" wrapText="1"/>
    </xf>
    <xf numFmtId="49" fontId="72" fillId="0" borderId="7" xfId="1" applyNumberFormat="1" applyFont="1" applyBorder="1" applyAlignment="1">
      <alignment horizontal="left" vertical="center"/>
    </xf>
    <xf numFmtId="49" fontId="72" fillId="0" borderId="6" xfId="1" applyNumberFormat="1" applyFont="1" applyBorder="1" applyAlignment="1">
      <alignment horizontal="left" vertical="center"/>
    </xf>
    <xf numFmtId="49" fontId="69" fillId="37" borderId="4" xfId="6" applyNumberFormat="1" applyFont="1" applyFill="1" applyBorder="1" applyAlignment="1">
      <alignment horizontal="left" vertical="center" wrapText="1"/>
    </xf>
    <xf numFmtId="49" fontId="69" fillId="37" borderId="7" xfId="6" applyNumberFormat="1" applyFont="1" applyFill="1" applyBorder="1" applyAlignment="1">
      <alignment horizontal="left" vertical="center" wrapText="1"/>
    </xf>
    <xf numFmtId="0" fontId="68" fillId="37" borderId="4" xfId="0" applyFont="1" applyFill="1" applyBorder="1" applyAlignment="1">
      <alignment vertical="center" wrapText="1"/>
    </xf>
    <xf numFmtId="0" fontId="68" fillId="37" borderId="7" xfId="0" applyFont="1" applyFill="1" applyBorder="1" applyAlignment="1">
      <alignment vertical="center" wrapText="1"/>
    </xf>
    <xf numFmtId="0" fontId="68" fillId="37" borderId="27" xfId="0" applyFont="1" applyFill="1" applyBorder="1" applyAlignment="1">
      <alignment vertical="center" wrapText="1"/>
    </xf>
    <xf numFmtId="49" fontId="69" fillId="37" borderId="4" xfId="1" applyNumberFormat="1" applyFont="1" applyFill="1" applyBorder="1" applyAlignment="1">
      <alignment horizontal="center" vertical="center" wrapText="1"/>
    </xf>
    <xf numFmtId="49" fontId="69" fillId="37" borderId="7" xfId="1" applyNumberFormat="1" applyFont="1" applyFill="1" applyBorder="1" applyAlignment="1">
      <alignment horizontal="center" vertical="center" wrapText="1"/>
    </xf>
    <xf numFmtId="49" fontId="48" fillId="37" borderId="4" xfId="6" applyNumberFormat="1" applyFont="1" applyFill="1" applyBorder="1" applyAlignment="1">
      <alignment horizontal="center" vertical="center" wrapText="1"/>
    </xf>
    <xf numFmtId="49" fontId="48" fillId="37" borderId="7" xfId="6" applyNumberFormat="1" applyFont="1" applyFill="1" applyBorder="1" applyAlignment="1">
      <alignment horizontal="center" vertical="center" wrapText="1"/>
    </xf>
    <xf numFmtId="49" fontId="48" fillId="37" borderId="6" xfId="6" applyNumberFormat="1" applyFont="1" applyFill="1" applyBorder="1" applyAlignment="1">
      <alignment horizontal="center" vertical="center" wrapText="1"/>
    </xf>
    <xf numFmtId="49" fontId="59" fillId="37" borderId="4" xfId="6" applyNumberFormat="1" applyFont="1" applyFill="1" applyBorder="1" applyAlignment="1">
      <alignment horizontal="center" vertical="center" wrapText="1"/>
    </xf>
    <xf numFmtId="49" fontId="59" fillId="37" borderId="7" xfId="6" applyNumberFormat="1" applyFont="1" applyFill="1" applyBorder="1" applyAlignment="1">
      <alignment horizontal="center" vertical="center" wrapText="1"/>
    </xf>
    <xf numFmtId="49" fontId="59" fillId="37" borderId="6" xfId="6" applyNumberFormat="1" applyFont="1" applyFill="1" applyBorder="1" applyAlignment="1">
      <alignment horizontal="center" vertical="center" wrapText="1"/>
    </xf>
    <xf numFmtId="16" fontId="46" fillId="31" borderId="11" xfId="6" applyNumberFormat="1" applyFont="1" applyFill="1" applyBorder="1" applyAlignment="1">
      <alignment horizontal="left" vertical="center" wrapText="1"/>
    </xf>
    <xf numFmtId="16" fontId="46" fillId="31" borderId="34" xfId="6" applyNumberFormat="1" applyFont="1" applyFill="1" applyBorder="1" applyAlignment="1">
      <alignment horizontal="left" vertical="center" wrapText="1"/>
    </xf>
    <xf numFmtId="49" fontId="48" fillId="37" borderId="4" xfId="6" applyNumberFormat="1" applyFont="1" applyFill="1" applyBorder="1" applyAlignment="1">
      <alignment horizontal="left" vertical="center" wrapText="1"/>
    </xf>
    <xf numFmtId="49" fontId="48" fillId="37" borderId="7" xfId="6" applyNumberFormat="1" applyFont="1" applyFill="1" applyBorder="1" applyAlignment="1">
      <alignment horizontal="left" vertical="center" wrapText="1"/>
    </xf>
    <xf numFmtId="49" fontId="48" fillId="37" borderId="6" xfId="6" applyNumberFormat="1" applyFont="1" applyFill="1" applyBorder="1" applyAlignment="1">
      <alignment horizontal="left" vertical="center" wrapText="1"/>
    </xf>
    <xf numFmtId="49" fontId="48" fillId="37" borderId="4" xfId="12" applyNumberFormat="1" applyFont="1" applyFill="1" applyBorder="1" applyAlignment="1" applyProtection="1">
      <alignment horizontal="left" vertical="center" wrapText="1"/>
    </xf>
    <xf numFmtId="49" fontId="48" fillId="37" borderId="6" xfId="12" applyNumberFormat="1" applyFont="1" applyFill="1" applyBorder="1" applyAlignment="1" applyProtection="1">
      <alignment horizontal="left" vertical="center" wrapText="1"/>
    </xf>
    <xf numFmtId="3" fontId="59" fillId="0" borderId="8" xfId="0" applyNumberFormat="1" applyFont="1" applyBorder="1" applyAlignment="1">
      <alignment horizontal="center" vertical="center" wrapText="1"/>
    </xf>
    <xf numFmtId="3" fontId="59" fillId="0" borderId="49" xfId="0" applyNumberFormat="1" applyFont="1" applyBorder="1" applyAlignment="1">
      <alignment horizontal="center" vertical="center" wrapText="1"/>
    </xf>
    <xf numFmtId="3" fontId="59" fillId="0" borderId="2" xfId="0" applyNumberFormat="1" applyFont="1" applyBorder="1" applyAlignment="1">
      <alignment horizontal="center" vertical="center" wrapText="1"/>
    </xf>
    <xf numFmtId="3" fontId="68" fillId="37" borderId="39" xfId="0" applyNumberFormat="1" applyFont="1" applyFill="1" applyBorder="1" applyAlignment="1">
      <alignment horizontal="center" vertical="top" wrapText="1"/>
    </xf>
    <xf numFmtId="3" fontId="68" fillId="37" borderId="48" xfId="0" applyNumberFormat="1" applyFont="1" applyFill="1" applyBorder="1" applyAlignment="1">
      <alignment horizontal="center" vertical="top" wrapText="1"/>
    </xf>
    <xf numFmtId="3" fontId="68" fillId="37" borderId="40" xfId="0" applyNumberFormat="1" applyFont="1" applyFill="1" applyBorder="1" applyAlignment="1">
      <alignment horizontal="center" vertical="top" wrapText="1"/>
    </xf>
    <xf numFmtId="49" fontId="47" fillId="0" borderId="4" xfId="6" applyNumberFormat="1" applyFont="1" applyBorder="1" applyAlignment="1">
      <alignment horizontal="left" vertical="center" wrapText="1"/>
    </xf>
    <xf numFmtId="49" fontId="47" fillId="0" borderId="7" xfId="6" applyNumberFormat="1" applyFont="1" applyBorder="1" applyAlignment="1">
      <alignment horizontal="left" vertical="center" wrapText="1"/>
    </xf>
    <xf numFmtId="49" fontId="34" fillId="0" borderId="4" xfId="6" applyNumberFormat="1" applyFont="1" applyBorder="1" applyAlignment="1">
      <alignment horizontal="left" vertical="center" wrapText="1"/>
    </xf>
    <xf numFmtId="49" fontId="34" fillId="0" borderId="7" xfId="6" applyNumberFormat="1" applyFont="1" applyBorder="1" applyAlignment="1">
      <alignment horizontal="left" vertical="center" wrapText="1"/>
    </xf>
    <xf numFmtId="49" fontId="34" fillId="0" borderId="6" xfId="6" applyNumberFormat="1" applyFont="1" applyBorder="1" applyAlignment="1">
      <alignment horizontal="left" vertical="center" wrapText="1"/>
    </xf>
    <xf numFmtId="49" fontId="34" fillId="37" borderId="4" xfId="6" applyNumberFormat="1" applyFont="1" applyFill="1" applyBorder="1" applyAlignment="1">
      <alignment horizontal="left" vertical="center" wrapText="1"/>
    </xf>
    <xf numFmtId="49" fontId="34" fillId="37" borderId="7" xfId="6" applyNumberFormat="1" applyFont="1" applyFill="1" applyBorder="1" applyAlignment="1">
      <alignment horizontal="left" vertical="center" wrapText="1"/>
    </xf>
    <xf numFmtId="49" fontId="34" fillId="37" borderId="6" xfId="6" applyNumberFormat="1" applyFont="1" applyFill="1" applyBorder="1" applyAlignment="1">
      <alignment horizontal="left" vertical="center" wrapText="1"/>
    </xf>
    <xf numFmtId="49" fontId="47" fillId="37" borderId="4" xfId="6" applyNumberFormat="1" applyFont="1" applyFill="1" applyBorder="1" applyAlignment="1">
      <alignment horizontal="center" vertical="center" wrapText="1"/>
    </xf>
    <xf numFmtId="49" fontId="47" fillId="37" borderId="7" xfId="6" applyNumberFormat="1" applyFont="1" applyFill="1" applyBorder="1" applyAlignment="1">
      <alignment horizontal="center" vertical="center" wrapText="1"/>
    </xf>
    <xf numFmtId="49" fontId="47" fillId="37" borderId="6" xfId="6" applyNumberFormat="1" applyFont="1" applyFill="1" applyBorder="1" applyAlignment="1">
      <alignment horizontal="center" vertical="center" wrapText="1"/>
    </xf>
    <xf numFmtId="49" fontId="47" fillId="37" borderId="4" xfId="6" applyNumberFormat="1" applyFont="1" applyFill="1" applyBorder="1" applyAlignment="1">
      <alignment horizontal="left" vertical="center" wrapText="1"/>
    </xf>
    <xf numFmtId="49" fontId="47" fillId="37" borderId="7" xfId="6" applyNumberFormat="1" applyFont="1" applyFill="1" applyBorder="1" applyAlignment="1">
      <alignment horizontal="left" vertical="center" wrapText="1"/>
    </xf>
    <xf numFmtId="49" fontId="47" fillId="0" borderId="0" xfId="1" applyNumberFormat="1" applyFont="1" applyAlignment="1">
      <alignment horizontal="left" vertical="center" wrapText="1"/>
    </xf>
  </cellXfs>
  <cellStyles count="1468">
    <cellStyle name="_ieguld.plāns" xfId="13" xr:uid="{00000000-0005-0000-0000-000000000000}"/>
    <cellStyle name="20% - Accent1 10" xfId="14" xr:uid="{00000000-0005-0000-0000-000001000000}"/>
    <cellStyle name="20% - Accent1 10 2" xfId="15" xr:uid="{00000000-0005-0000-0000-000002000000}"/>
    <cellStyle name="20% - Accent1 10 2 2" xfId="16" xr:uid="{00000000-0005-0000-0000-000003000000}"/>
    <cellStyle name="20% - Accent1 10 3" xfId="17" xr:uid="{00000000-0005-0000-0000-000004000000}"/>
    <cellStyle name="20% - Accent1 11" xfId="18" xr:uid="{00000000-0005-0000-0000-000005000000}"/>
    <cellStyle name="20% - Accent1 11 2" xfId="19" xr:uid="{00000000-0005-0000-0000-000006000000}"/>
    <cellStyle name="20% - Accent1 11 2 2" xfId="20" xr:uid="{00000000-0005-0000-0000-000007000000}"/>
    <cellStyle name="20% - Accent1 11 3" xfId="21" xr:uid="{00000000-0005-0000-0000-000008000000}"/>
    <cellStyle name="20% - Accent1 12" xfId="22" xr:uid="{00000000-0005-0000-0000-000009000000}"/>
    <cellStyle name="20% - Accent1 12 2" xfId="23" xr:uid="{00000000-0005-0000-0000-00000A000000}"/>
    <cellStyle name="20% - Accent1 12 2 2" xfId="24" xr:uid="{00000000-0005-0000-0000-00000B000000}"/>
    <cellStyle name="20% - Accent1 12 3" xfId="25" xr:uid="{00000000-0005-0000-0000-00000C000000}"/>
    <cellStyle name="20% - Accent1 13" xfId="26" xr:uid="{00000000-0005-0000-0000-00000D000000}"/>
    <cellStyle name="20% - Accent1 13 2" xfId="27" xr:uid="{00000000-0005-0000-0000-00000E000000}"/>
    <cellStyle name="20% - Accent1 13 2 2" xfId="28" xr:uid="{00000000-0005-0000-0000-00000F000000}"/>
    <cellStyle name="20% - Accent1 13 3" xfId="29" xr:uid="{00000000-0005-0000-0000-000010000000}"/>
    <cellStyle name="20% - Accent1 14" xfId="30" xr:uid="{00000000-0005-0000-0000-000011000000}"/>
    <cellStyle name="20% - Accent1 14 2" xfId="31" xr:uid="{00000000-0005-0000-0000-000012000000}"/>
    <cellStyle name="20% - Accent1 14 2 2" xfId="32" xr:uid="{00000000-0005-0000-0000-000013000000}"/>
    <cellStyle name="20% - Accent1 14 3" xfId="33" xr:uid="{00000000-0005-0000-0000-000014000000}"/>
    <cellStyle name="20% - Accent1 15" xfId="34" xr:uid="{00000000-0005-0000-0000-000015000000}"/>
    <cellStyle name="20% - Accent1 15 2" xfId="35" xr:uid="{00000000-0005-0000-0000-000016000000}"/>
    <cellStyle name="20% - Accent1 15 2 2" xfId="36" xr:uid="{00000000-0005-0000-0000-000017000000}"/>
    <cellStyle name="20% - Accent1 15 3" xfId="37" xr:uid="{00000000-0005-0000-0000-000018000000}"/>
    <cellStyle name="20% - Accent1 16" xfId="38" xr:uid="{00000000-0005-0000-0000-000019000000}"/>
    <cellStyle name="20% - Accent1 2" xfId="39" xr:uid="{00000000-0005-0000-0000-00001A000000}"/>
    <cellStyle name="20% - Accent1 2 2" xfId="40" xr:uid="{00000000-0005-0000-0000-00001B000000}"/>
    <cellStyle name="20% - Accent1 2 2 2" xfId="41" xr:uid="{00000000-0005-0000-0000-00001C000000}"/>
    <cellStyle name="20% - Accent1 2 3" xfId="42" xr:uid="{00000000-0005-0000-0000-00001D000000}"/>
    <cellStyle name="20% - Accent1 3" xfId="43" xr:uid="{00000000-0005-0000-0000-00001E000000}"/>
    <cellStyle name="20% - Accent1 3 2" xfId="44" xr:uid="{00000000-0005-0000-0000-00001F000000}"/>
    <cellStyle name="20% - Accent1 3 2 2" xfId="45" xr:uid="{00000000-0005-0000-0000-000020000000}"/>
    <cellStyle name="20% - Accent1 3 3" xfId="46" xr:uid="{00000000-0005-0000-0000-000021000000}"/>
    <cellStyle name="20% - Accent1 4" xfId="47" xr:uid="{00000000-0005-0000-0000-000022000000}"/>
    <cellStyle name="20% - Accent1 4 2" xfId="48" xr:uid="{00000000-0005-0000-0000-000023000000}"/>
    <cellStyle name="20% - Accent1 4 2 2" xfId="49" xr:uid="{00000000-0005-0000-0000-000024000000}"/>
    <cellStyle name="20% - Accent1 4 3" xfId="50" xr:uid="{00000000-0005-0000-0000-000025000000}"/>
    <cellStyle name="20% - Accent1 5" xfId="51" xr:uid="{00000000-0005-0000-0000-000026000000}"/>
    <cellStyle name="20% - Accent1 5 2" xfId="52" xr:uid="{00000000-0005-0000-0000-000027000000}"/>
    <cellStyle name="20% - Accent1 5 2 2" xfId="53" xr:uid="{00000000-0005-0000-0000-000028000000}"/>
    <cellStyle name="20% - Accent1 5 3" xfId="54" xr:uid="{00000000-0005-0000-0000-000029000000}"/>
    <cellStyle name="20% - Accent1 6" xfId="55" xr:uid="{00000000-0005-0000-0000-00002A000000}"/>
    <cellStyle name="20% - Accent1 6 2" xfId="56" xr:uid="{00000000-0005-0000-0000-00002B000000}"/>
    <cellStyle name="20% - Accent1 6 2 2" xfId="57" xr:uid="{00000000-0005-0000-0000-00002C000000}"/>
    <cellStyle name="20% - Accent1 6 3" xfId="58" xr:uid="{00000000-0005-0000-0000-00002D000000}"/>
    <cellStyle name="20% - Accent1 7" xfId="59" xr:uid="{00000000-0005-0000-0000-00002E000000}"/>
    <cellStyle name="20% - Accent1 7 2" xfId="60" xr:uid="{00000000-0005-0000-0000-00002F000000}"/>
    <cellStyle name="20% - Accent1 7 2 2" xfId="61" xr:uid="{00000000-0005-0000-0000-000030000000}"/>
    <cellStyle name="20% - Accent1 7 3" xfId="62" xr:uid="{00000000-0005-0000-0000-000031000000}"/>
    <cellStyle name="20% - Accent1 8" xfId="63" xr:uid="{00000000-0005-0000-0000-000032000000}"/>
    <cellStyle name="20% - Accent1 8 2" xfId="64" xr:uid="{00000000-0005-0000-0000-000033000000}"/>
    <cellStyle name="20% - Accent1 8 2 2" xfId="65" xr:uid="{00000000-0005-0000-0000-000034000000}"/>
    <cellStyle name="20% - Accent1 8 3" xfId="66" xr:uid="{00000000-0005-0000-0000-000035000000}"/>
    <cellStyle name="20% - Accent1 9" xfId="67" xr:uid="{00000000-0005-0000-0000-000036000000}"/>
    <cellStyle name="20% - Accent1 9 2" xfId="68" xr:uid="{00000000-0005-0000-0000-000037000000}"/>
    <cellStyle name="20% - Accent1 9 2 2" xfId="69" xr:uid="{00000000-0005-0000-0000-000038000000}"/>
    <cellStyle name="20% - Accent1 9 3" xfId="70" xr:uid="{00000000-0005-0000-0000-000039000000}"/>
    <cellStyle name="20% - Accent2 10" xfId="71" xr:uid="{00000000-0005-0000-0000-00003A000000}"/>
    <cellStyle name="20% - Accent2 10 2" xfId="72" xr:uid="{00000000-0005-0000-0000-00003B000000}"/>
    <cellStyle name="20% - Accent2 10 2 2" xfId="73" xr:uid="{00000000-0005-0000-0000-00003C000000}"/>
    <cellStyle name="20% - Accent2 10 3" xfId="74" xr:uid="{00000000-0005-0000-0000-00003D000000}"/>
    <cellStyle name="20% - Accent2 11" xfId="75" xr:uid="{00000000-0005-0000-0000-00003E000000}"/>
    <cellStyle name="20% - Accent2 11 2" xfId="76" xr:uid="{00000000-0005-0000-0000-00003F000000}"/>
    <cellStyle name="20% - Accent2 11 2 2" xfId="77" xr:uid="{00000000-0005-0000-0000-000040000000}"/>
    <cellStyle name="20% - Accent2 11 3" xfId="78" xr:uid="{00000000-0005-0000-0000-000041000000}"/>
    <cellStyle name="20% - Accent2 12" xfId="79" xr:uid="{00000000-0005-0000-0000-000042000000}"/>
    <cellStyle name="20% - Accent2 12 2" xfId="80" xr:uid="{00000000-0005-0000-0000-000043000000}"/>
    <cellStyle name="20% - Accent2 12 2 2" xfId="81" xr:uid="{00000000-0005-0000-0000-000044000000}"/>
    <cellStyle name="20% - Accent2 12 3" xfId="82" xr:uid="{00000000-0005-0000-0000-000045000000}"/>
    <cellStyle name="20% - Accent2 13" xfId="83" xr:uid="{00000000-0005-0000-0000-000046000000}"/>
    <cellStyle name="20% - Accent2 13 2" xfId="84" xr:uid="{00000000-0005-0000-0000-000047000000}"/>
    <cellStyle name="20% - Accent2 13 2 2" xfId="85" xr:uid="{00000000-0005-0000-0000-000048000000}"/>
    <cellStyle name="20% - Accent2 13 3" xfId="86" xr:uid="{00000000-0005-0000-0000-000049000000}"/>
    <cellStyle name="20% - Accent2 14" xfId="87" xr:uid="{00000000-0005-0000-0000-00004A000000}"/>
    <cellStyle name="20% - Accent2 14 2" xfId="88" xr:uid="{00000000-0005-0000-0000-00004B000000}"/>
    <cellStyle name="20% - Accent2 14 2 2" xfId="89" xr:uid="{00000000-0005-0000-0000-00004C000000}"/>
    <cellStyle name="20% - Accent2 14 3" xfId="90" xr:uid="{00000000-0005-0000-0000-00004D000000}"/>
    <cellStyle name="20% - Accent2 15" xfId="91" xr:uid="{00000000-0005-0000-0000-00004E000000}"/>
    <cellStyle name="20% - Accent2 15 2" xfId="92" xr:uid="{00000000-0005-0000-0000-00004F000000}"/>
    <cellStyle name="20% - Accent2 15 2 2" xfId="93" xr:uid="{00000000-0005-0000-0000-000050000000}"/>
    <cellStyle name="20% - Accent2 15 3" xfId="94" xr:uid="{00000000-0005-0000-0000-000051000000}"/>
    <cellStyle name="20% - Accent2 16" xfId="95" xr:uid="{00000000-0005-0000-0000-000052000000}"/>
    <cellStyle name="20% - Accent2 2" xfId="96" xr:uid="{00000000-0005-0000-0000-000053000000}"/>
    <cellStyle name="20% - Accent2 2 2" xfId="97" xr:uid="{00000000-0005-0000-0000-000054000000}"/>
    <cellStyle name="20% - Accent2 2 2 2" xfId="98" xr:uid="{00000000-0005-0000-0000-000055000000}"/>
    <cellStyle name="20% - Accent2 2 3" xfId="99" xr:uid="{00000000-0005-0000-0000-000056000000}"/>
    <cellStyle name="20% - Accent2 3" xfId="100" xr:uid="{00000000-0005-0000-0000-000057000000}"/>
    <cellStyle name="20% - Accent2 3 2" xfId="101" xr:uid="{00000000-0005-0000-0000-000058000000}"/>
    <cellStyle name="20% - Accent2 3 2 2" xfId="102" xr:uid="{00000000-0005-0000-0000-000059000000}"/>
    <cellStyle name="20% - Accent2 3 3" xfId="103" xr:uid="{00000000-0005-0000-0000-00005A000000}"/>
    <cellStyle name="20% - Accent2 4" xfId="104" xr:uid="{00000000-0005-0000-0000-00005B000000}"/>
    <cellStyle name="20% - Accent2 4 2" xfId="105" xr:uid="{00000000-0005-0000-0000-00005C000000}"/>
    <cellStyle name="20% - Accent2 4 2 2" xfId="106" xr:uid="{00000000-0005-0000-0000-00005D000000}"/>
    <cellStyle name="20% - Accent2 4 3" xfId="107" xr:uid="{00000000-0005-0000-0000-00005E000000}"/>
    <cellStyle name="20% - Accent2 5" xfId="108" xr:uid="{00000000-0005-0000-0000-00005F000000}"/>
    <cellStyle name="20% - Accent2 5 2" xfId="109" xr:uid="{00000000-0005-0000-0000-000060000000}"/>
    <cellStyle name="20% - Accent2 5 2 2" xfId="110" xr:uid="{00000000-0005-0000-0000-000061000000}"/>
    <cellStyle name="20% - Accent2 5 3" xfId="111" xr:uid="{00000000-0005-0000-0000-000062000000}"/>
    <cellStyle name="20% - Accent2 6" xfId="112" xr:uid="{00000000-0005-0000-0000-000063000000}"/>
    <cellStyle name="20% - Accent2 6 2" xfId="113" xr:uid="{00000000-0005-0000-0000-000064000000}"/>
    <cellStyle name="20% - Accent2 6 2 2" xfId="114" xr:uid="{00000000-0005-0000-0000-000065000000}"/>
    <cellStyle name="20% - Accent2 6 3" xfId="115" xr:uid="{00000000-0005-0000-0000-000066000000}"/>
    <cellStyle name="20% - Accent2 7" xfId="116" xr:uid="{00000000-0005-0000-0000-000067000000}"/>
    <cellStyle name="20% - Accent2 7 2" xfId="117" xr:uid="{00000000-0005-0000-0000-000068000000}"/>
    <cellStyle name="20% - Accent2 7 2 2" xfId="118" xr:uid="{00000000-0005-0000-0000-000069000000}"/>
    <cellStyle name="20% - Accent2 7 3" xfId="119" xr:uid="{00000000-0005-0000-0000-00006A000000}"/>
    <cellStyle name="20% - Accent2 8" xfId="120" xr:uid="{00000000-0005-0000-0000-00006B000000}"/>
    <cellStyle name="20% - Accent2 8 2" xfId="121" xr:uid="{00000000-0005-0000-0000-00006C000000}"/>
    <cellStyle name="20% - Accent2 8 2 2" xfId="122" xr:uid="{00000000-0005-0000-0000-00006D000000}"/>
    <cellStyle name="20% - Accent2 8 3" xfId="123" xr:uid="{00000000-0005-0000-0000-00006E000000}"/>
    <cellStyle name="20% - Accent2 9" xfId="124" xr:uid="{00000000-0005-0000-0000-00006F000000}"/>
    <cellStyle name="20% - Accent2 9 2" xfId="125" xr:uid="{00000000-0005-0000-0000-000070000000}"/>
    <cellStyle name="20% - Accent2 9 2 2" xfId="126" xr:uid="{00000000-0005-0000-0000-000071000000}"/>
    <cellStyle name="20% - Accent2 9 3" xfId="127" xr:uid="{00000000-0005-0000-0000-000072000000}"/>
    <cellStyle name="20% - Accent3 10" xfId="128" xr:uid="{00000000-0005-0000-0000-000073000000}"/>
    <cellStyle name="20% - Accent3 10 2" xfId="129" xr:uid="{00000000-0005-0000-0000-000074000000}"/>
    <cellStyle name="20% - Accent3 10 2 2" xfId="130" xr:uid="{00000000-0005-0000-0000-000075000000}"/>
    <cellStyle name="20% - Accent3 10 3" xfId="131" xr:uid="{00000000-0005-0000-0000-000076000000}"/>
    <cellStyle name="20% - Accent3 11" xfId="132" xr:uid="{00000000-0005-0000-0000-000077000000}"/>
    <cellStyle name="20% - Accent3 11 2" xfId="133" xr:uid="{00000000-0005-0000-0000-000078000000}"/>
    <cellStyle name="20% - Accent3 11 2 2" xfId="134" xr:uid="{00000000-0005-0000-0000-000079000000}"/>
    <cellStyle name="20% - Accent3 11 3" xfId="135" xr:uid="{00000000-0005-0000-0000-00007A000000}"/>
    <cellStyle name="20% - Accent3 12" xfId="136" xr:uid="{00000000-0005-0000-0000-00007B000000}"/>
    <cellStyle name="20% - Accent3 12 2" xfId="137" xr:uid="{00000000-0005-0000-0000-00007C000000}"/>
    <cellStyle name="20% - Accent3 12 2 2" xfId="138" xr:uid="{00000000-0005-0000-0000-00007D000000}"/>
    <cellStyle name="20% - Accent3 12 3" xfId="139" xr:uid="{00000000-0005-0000-0000-00007E000000}"/>
    <cellStyle name="20% - Accent3 13" xfId="140" xr:uid="{00000000-0005-0000-0000-00007F000000}"/>
    <cellStyle name="20% - Accent3 13 2" xfId="141" xr:uid="{00000000-0005-0000-0000-000080000000}"/>
    <cellStyle name="20% - Accent3 13 2 2" xfId="142" xr:uid="{00000000-0005-0000-0000-000081000000}"/>
    <cellStyle name="20% - Accent3 13 3" xfId="143" xr:uid="{00000000-0005-0000-0000-000082000000}"/>
    <cellStyle name="20% - Accent3 14" xfId="144" xr:uid="{00000000-0005-0000-0000-000083000000}"/>
    <cellStyle name="20% - Accent3 14 2" xfId="145" xr:uid="{00000000-0005-0000-0000-000084000000}"/>
    <cellStyle name="20% - Accent3 14 2 2" xfId="146" xr:uid="{00000000-0005-0000-0000-000085000000}"/>
    <cellStyle name="20% - Accent3 14 3" xfId="147" xr:uid="{00000000-0005-0000-0000-000086000000}"/>
    <cellStyle name="20% - Accent3 15" xfId="148" xr:uid="{00000000-0005-0000-0000-000087000000}"/>
    <cellStyle name="20% - Accent3 15 2" xfId="149" xr:uid="{00000000-0005-0000-0000-000088000000}"/>
    <cellStyle name="20% - Accent3 15 2 2" xfId="150" xr:uid="{00000000-0005-0000-0000-000089000000}"/>
    <cellStyle name="20% - Accent3 15 3" xfId="151" xr:uid="{00000000-0005-0000-0000-00008A000000}"/>
    <cellStyle name="20% - Accent3 16" xfId="152" xr:uid="{00000000-0005-0000-0000-00008B000000}"/>
    <cellStyle name="20% - Accent3 2" xfId="153" xr:uid="{00000000-0005-0000-0000-00008C000000}"/>
    <cellStyle name="20% - Accent3 2 2" xfId="154" xr:uid="{00000000-0005-0000-0000-00008D000000}"/>
    <cellStyle name="20% - Accent3 2 2 2" xfId="155" xr:uid="{00000000-0005-0000-0000-00008E000000}"/>
    <cellStyle name="20% - Accent3 2 3" xfId="156" xr:uid="{00000000-0005-0000-0000-00008F000000}"/>
    <cellStyle name="20% - Accent3 3" xfId="157" xr:uid="{00000000-0005-0000-0000-000090000000}"/>
    <cellStyle name="20% - Accent3 3 2" xfId="158" xr:uid="{00000000-0005-0000-0000-000091000000}"/>
    <cellStyle name="20% - Accent3 3 2 2" xfId="159" xr:uid="{00000000-0005-0000-0000-000092000000}"/>
    <cellStyle name="20% - Accent3 3 3" xfId="160" xr:uid="{00000000-0005-0000-0000-000093000000}"/>
    <cellStyle name="20% - Accent3 4" xfId="161" xr:uid="{00000000-0005-0000-0000-000094000000}"/>
    <cellStyle name="20% - Accent3 4 2" xfId="162" xr:uid="{00000000-0005-0000-0000-000095000000}"/>
    <cellStyle name="20% - Accent3 4 2 2" xfId="163" xr:uid="{00000000-0005-0000-0000-000096000000}"/>
    <cellStyle name="20% - Accent3 4 3" xfId="164" xr:uid="{00000000-0005-0000-0000-000097000000}"/>
    <cellStyle name="20% - Accent3 5" xfId="165" xr:uid="{00000000-0005-0000-0000-000098000000}"/>
    <cellStyle name="20% - Accent3 5 2" xfId="166" xr:uid="{00000000-0005-0000-0000-000099000000}"/>
    <cellStyle name="20% - Accent3 5 2 2" xfId="167" xr:uid="{00000000-0005-0000-0000-00009A000000}"/>
    <cellStyle name="20% - Accent3 5 3" xfId="168" xr:uid="{00000000-0005-0000-0000-00009B000000}"/>
    <cellStyle name="20% - Accent3 6" xfId="169" xr:uid="{00000000-0005-0000-0000-00009C000000}"/>
    <cellStyle name="20% - Accent3 6 2" xfId="170" xr:uid="{00000000-0005-0000-0000-00009D000000}"/>
    <cellStyle name="20% - Accent3 6 2 2" xfId="171" xr:uid="{00000000-0005-0000-0000-00009E000000}"/>
    <cellStyle name="20% - Accent3 6 3" xfId="172" xr:uid="{00000000-0005-0000-0000-00009F000000}"/>
    <cellStyle name="20% - Accent3 7" xfId="173" xr:uid="{00000000-0005-0000-0000-0000A0000000}"/>
    <cellStyle name="20% - Accent3 7 2" xfId="174" xr:uid="{00000000-0005-0000-0000-0000A1000000}"/>
    <cellStyle name="20% - Accent3 7 2 2" xfId="175" xr:uid="{00000000-0005-0000-0000-0000A2000000}"/>
    <cellStyle name="20% - Accent3 7 3" xfId="176" xr:uid="{00000000-0005-0000-0000-0000A3000000}"/>
    <cellStyle name="20% - Accent3 8" xfId="177" xr:uid="{00000000-0005-0000-0000-0000A4000000}"/>
    <cellStyle name="20% - Accent3 8 2" xfId="178" xr:uid="{00000000-0005-0000-0000-0000A5000000}"/>
    <cellStyle name="20% - Accent3 8 2 2" xfId="179" xr:uid="{00000000-0005-0000-0000-0000A6000000}"/>
    <cellStyle name="20% - Accent3 8 3" xfId="180" xr:uid="{00000000-0005-0000-0000-0000A7000000}"/>
    <cellStyle name="20% - Accent3 9" xfId="181" xr:uid="{00000000-0005-0000-0000-0000A8000000}"/>
    <cellStyle name="20% - Accent3 9 2" xfId="182" xr:uid="{00000000-0005-0000-0000-0000A9000000}"/>
    <cellStyle name="20% - Accent3 9 2 2" xfId="183" xr:uid="{00000000-0005-0000-0000-0000AA000000}"/>
    <cellStyle name="20% - Accent3 9 3" xfId="184" xr:uid="{00000000-0005-0000-0000-0000AB000000}"/>
    <cellStyle name="20% - Accent4 10" xfId="185" xr:uid="{00000000-0005-0000-0000-0000AC000000}"/>
    <cellStyle name="20% - Accent4 10 2" xfId="186" xr:uid="{00000000-0005-0000-0000-0000AD000000}"/>
    <cellStyle name="20% - Accent4 10 2 2" xfId="187" xr:uid="{00000000-0005-0000-0000-0000AE000000}"/>
    <cellStyle name="20% - Accent4 10 3" xfId="188" xr:uid="{00000000-0005-0000-0000-0000AF000000}"/>
    <cellStyle name="20% - Accent4 11" xfId="189" xr:uid="{00000000-0005-0000-0000-0000B0000000}"/>
    <cellStyle name="20% - Accent4 11 2" xfId="190" xr:uid="{00000000-0005-0000-0000-0000B1000000}"/>
    <cellStyle name="20% - Accent4 11 2 2" xfId="191" xr:uid="{00000000-0005-0000-0000-0000B2000000}"/>
    <cellStyle name="20% - Accent4 11 3" xfId="192" xr:uid="{00000000-0005-0000-0000-0000B3000000}"/>
    <cellStyle name="20% - Accent4 12" xfId="193" xr:uid="{00000000-0005-0000-0000-0000B4000000}"/>
    <cellStyle name="20% - Accent4 12 2" xfId="194" xr:uid="{00000000-0005-0000-0000-0000B5000000}"/>
    <cellStyle name="20% - Accent4 12 2 2" xfId="195" xr:uid="{00000000-0005-0000-0000-0000B6000000}"/>
    <cellStyle name="20% - Accent4 12 3" xfId="196" xr:uid="{00000000-0005-0000-0000-0000B7000000}"/>
    <cellStyle name="20% - Accent4 13" xfId="197" xr:uid="{00000000-0005-0000-0000-0000B8000000}"/>
    <cellStyle name="20% - Accent4 13 2" xfId="198" xr:uid="{00000000-0005-0000-0000-0000B9000000}"/>
    <cellStyle name="20% - Accent4 13 2 2" xfId="199" xr:uid="{00000000-0005-0000-0000-0000BA000000}"/>
    <cellStyle name="20% - Accent4 13 3" xfId="200" xr:uid="{00000000-0005-0000-0000-0000BB000000}"/>
    <cellStyle name="20% - Accent4 14" xfId="201" xr:uid="{00000000-0005-0000-0000-0000BC000000}"/>
    <cellStyle name="20% - Accent4 14 2" xfId="202" xr:uid="{00000000-0005-0000-0000-0000BD000000}"/>
    <cellStyle name="20% - Accent4 14 2 2" xfId="203" xr:uid="{00000000-0005-0000-0000-0000BE000000}"/>
    <cellStyle name="20% - Accent4 14 3" xfId="204" xr:uid="{00000000-0005-0000-0000-0000BF000000}"/>
    <cellStyle name="20% - Accent4 15" xfId="205" xr:uid="{00000000-0005-0000-0000-0000C0000000}"/>
    <cellStyle name="20% - Accent4 15 2" xfId="206" xr:uid="{00000000-0005-0000-0000-0000C1000000}"/>
    <cellStyle name="20% - Accent4 15 2 2" xfId="207" xr:uid="{00000000-0005-0000-0000-0000C2000000}"/>
    <cellStyle name="20% - Accent4 15 3" xfId="208" xr:uid="{00000000-0005-0000-0000-0000C3000000}"/>
    <cellStyle name="20% - Accent4 16" xfId="209" xr:uid="{00000000-0005-0000-0000-0000C4000000}"/>
    <cellStyle name="20% - Accent4 2" xfId="210" xr:uid="{00000000-0005-0000-0000-0000C5000000}"/>
    <cellStyle name="20% - Accent4 2 2" xfId="211" xr:uid="{00000000-0005-0000-0000-0000C6000000}"/>
    <cellStyle name="20% - Accent4 2 2 2" xfId="212" xr:uid="{00000000-0005-0000-0000-0000C7000000}"/>
    <cellStyle name="20% - Accent4 2 3" xfId="213" xr:uid="{00000000-0005-0000-0000-0000C8000000}"/>
    <cellStyle name="20% - Accent4 3" xfId="214" xr:uid="{00000000-0005-0000-0000-0000C9000000}"/>
    <cellStyle name="20% - Accent4 3 2" xfId="215" xr:uid="{00000000-0005-0000-0000-0000CA000000}"/>
    <cellStyle name="20% - Accent4 3 2 2" xfId="216" xr:uid="{00000000-0005-0000-0000-0000CB000000}"/>
    <cellStyle name="20% - Accent4 3 3" xfId="217" xr:uid="{00000000-0005-0000-0000-0000CC000000}"/>
    <cellStyle name="20% - Accent4 4" xfId="218" xr:uid="{00000000-0005-0000-0000-0000CD000000}"/>
    <cellStyle name="20% - Accent4 4 2" xfId="219" xr:uid="{00000000-0005-0000-0000-0000CE000000}"/>
    <cellStyle name="20% - Accent4 4 2 2" xfId="220" xr:uid="{00000000-0005-0000-0000-0000CF000000}"/>
    <cellStyle name="20% - Accent4 4 3" xfId="221" xr:uid="{00000000-0005-0000-0000-0000D0000000}"/>
    <cellStyle name="20% - Accent4 5" xfId="222" xr:uid="{00000000-0005-0000-0000-0000D1000000}"/>
    <cellStyle name="20% - Accent4 5 2" xfId="223" xr:uid="{00000000-0005-0000-0000-0000D2000000}"/>
    <cellStyle name="20% - Accent4 5 2 2" xfId="224" xr:uid="{00000000-0005-0000-0000-0000D3000000}"/>
    <cellStyle name="20% - Accent4 5 3" xfId="225" xr:uid="{00000000-0005-0000-0000-0000D4000000}"/>
    <cellStyle name="20% - Accent4 6" xfId="226" xr:uid="{00000000-0005-0000-0000-0000D5000000}"/>
    <cellStyle name="20% - Accent4 6 2" xfId="227" xr:uid="{00000000-0005-0000-0000-0000D6000000}"/>
    <cellStyle name="20% - Accent4 6 2 2" xfId="228" xr:uid="{00000000-0005-0000-0000-0000D7000000}"/>
    <cellStyle name="20% - Accent4 6 3" xfId="229" xr:uid="{00000000-0005-0000-0000-0000D8000000}"/>
    <cellStyle name="20% - Accent4 7" xfId="230" xr:uid="{00000000-0005-0000-0000-0000D9000000}"/>
    <cellStyle name="20% - Accent4 7 2" xfId="231" xr:uid="{00000000-0005-0000-0000-0000DA000000}"/>
    <cellStyle name="20% - Accent4 7 2 2" xfId="232" xr:uid="{00000000-0005-0000-0000-0000DB000000}"/>
    <cellStyle name="20% - Accent4 7 3" xfId="233" xr:uid="{00000000-0005-0000-0000-0000DC000000}"/>
    <cellStyle name="20% - Accent4 8" xfId="234" xr:uid="{00000000-0005-0000-0000-0000DD000000}"/>
    <cellStyle name="20% - Accent4 8 2" xfId="235" xr:uid="{00000000-0005-0000-0000-0000DE000000}"/>
    <cellStyle name="20% - Accent4 8 2 2" xfId="236" xr:uid="{00000000-0005-0000-0000-0000DF000000}"/>
    <cellStyle name="20% - Accent4 8 3" xfId="237" xr:uid="{00000000-0005-0000-0000-0000E0000000}"/>
    <cellStyle name="20% - Accent4 9" xfId="238" xr:uid="{00000000-0005-0000-0000-0000E1000000}"/>
    <cellStyle name="20% - Accent4 9 2" xfId="239" xr:uid="{00000000-0005-0000-0000-0000E2000000}"/>
    <cellStyle name="20% - Accent4 9 2 2" xfId="240" xr:uid="{00000000-0005-0000-0000-0000E3000000}"/>
    <cellStyle name="20% - Accent4 9 3" xfId="241" xr:uid="{00000000-0005-0000-0000-0000E4000000}"/>
    <cellStyle name="20% - Accent5 10" xfId="242" xr:uid="{00000000-0005-0000-0000-0000E5000000}"/>
    <cellStyle name="20% - Accent5 10 2" xfId="243" xr:uid="{00000000-0005-0000-0000-0000E6000000}"/>
    <cellStyle name="20% - Accent5 10 2 2" xfId="244" xr:uid="{00000000-0005-0000-0000-0000E7000000}"/>
    <cellStyle name="20% - Accent5 10 3" xfId="245" xr:uid="{00000000-0005-0000-0000-0000E8000000}"/>
    <cellStyle name="20% - Accent5 11" xfId="246" xr:uid="{00000000-0005-0000-0000-0000E9000000}"/>
    <cellStyle name="20% - Accent5 11 2" xfId="247" xr:uid="{00000000-0005-0000-0000-0000EA000000}"/>
    <cellStyle name="20% - Accent5 11 2 2" xfId="248" xr:uid="{00000000-0005-0000-0000-0000EB000000}"/>
    <cellStyle name="20% - Accent5 11 3" xfId="249" xr:uid="{00000000-0005-0000-0000-0000EC000000}"/>
    <cellStyle name="20% - Accent5 12" xfId="250" xr:uid="{00000000-0005-0000-0000-0000ED000000}"/>
    <cellStyle name="20% - Accent5 12 2" xfId="251" xr:uid="{00000000-0005-0000-0000-0000EE000000}"/>
    <cellStyle name="20% - Accent5 12 2 2" xfId="252" xr:uid="{00000000-0005-0000-0000-0000EF000000}"/>
    <cellStyle name="20% - Accent5 12 3" xfId="253" xr:uid="{00000000-0005-0000-0000-0000F0000000}"/>
    <cellStyle name="20% - Accent5 13" xfId="254" xr:uid="{00000000-0005-0000-0000-0000F1000000}"/>
    <cellStyle name="20% - Accent5 13 2" xfId="255" xr:uid="{00000000-0005-0000-0000-0000F2000000}"/>
    <cellStyle name="20% - Accent5 13 2 2" xfId="256" xr:uid="{00000000-0005-0000-0000-0000F3000000}"/>
    <cellStyle name="20% - Accent5 13 3" xfId="257" xr:uid="{00000000-0005-0000-0000-0000F4000000}"/>
    <cellStyle name="20% - Accent5 14" xfId="258" xr:uid="{00000000-0005-0000-0000-0000F5000000}"/>
    <cellStyle name="20% - Accent5 14 2" xfId="259" xr:uid="{00000000-0005-0000-0000-0000F6000000}"/>
    <cellStyle name="20% - Accent5 14 2 2" xfId="260" xr:uid="{00000000-0005-0000-0000-0000F7000000}"/>
    <cellStyle name="20% - Accent5 14 3" xfId="261" xr:uid="{00000000-0005-0000-0000-0000F8000000}"/>
    <cellStyle name="20% - Accent5 15" xfId="262" xr:uid="{00000000-0005-0000-0000-0000F9000000}"/>
    <cellStyle name="20% - Accent5 15 2" xfId="263" xr:uid="{00000000-0005-0000-0000-0000FA000000}"/>
    <cellStyle name="20% - Accent5 15 2 2" xfId="264" xr:uid="{00000000-0005-0000-0000-0000FB000000}"/>
    <cellStyle name="20% - Accent5 15 3" xfId="265" xr:uid="{00000000-0005-0000-0000-0000FC000000}"/>
    <cellStyle name="20% - Accent5 16" xfId="266" xr:uid="{00000000-0005-0000-0000-0000FD000000}"/>
    <cellStyle name="20% - Accent5 2" xfId="267" xr:uid="{00000000-0005-0000-0000-0000FE000000}"/>
    <cellStyle name="20% - Accent5 2 2" xfId="268" xr:uid="{00000000-0005-0000-0000-0000FF000000}"/>
    <cellStyle name="20% - Accent5 2 2 2" xfId="269" xr:uid="{00000000-0005-0000-0000-000000010000}"/>
    <cellStyle name="20% - Accent5 2 3" xfId="270" xr:uid="{00000000-0005-0000-0000-000001010000}"/>
    <cellStyle name="20% - Accent5 3" xfId="271" xr:uid="{00000000-0005-0000-0000-000002010000}"/>
    <cellStyle name="20% - Accent5 3 2" xfId="272" xr:uid="{00000000-0005-0000-0000-000003010000}"/>
    <cellStyle name="20% - Accent5 3 2 2" xfId="273" xr:uid="{00000000-0005-0000-0000-000004010000}"/>
    <cellStyle name="20% - Accent5 3 3" xfId="274" xr:uid="{00000000-0005-0000-0000-000005010000}"/>
    <cellStyle name="20% - Accent5 4" xfId="275" xr:uid="{00000000-0005-0000-0000-000006010000}"/>
    <cellStyle name="20% - Accent5 4 2" xfId="276" xr:uid="{00000000-0005-0000-0000-000007010000}"/>
    <cellStyle name="20% - Accent5 4 2 2" xfId="277" xr:uid="{00000000-0005-0000-0000-000008010000}"/>
    <cellStyle name="20% - Accent5 4 3" xfId="278" xr:uid="{00000000-0005-0000-0000-000009010000}"/>
    <cellStyle name="20% - Accent5 5" xfId="279" xr:uid="{00000000-0005-0000-0000-00000A010000}"/>
    <cellStyle name="20% - Accent5 5 2" xfId="280" xr:uid="{00000000-0005-0000-0000-00000B010000}"/>
    <cellStyle name="20% - Accent5 5 2 2" xfId="281" xr:uid="{00000000-0005-0000-0000-00000C010000}"/>
    <cellStyle name="20% - Accent5 5 3" xfId="282" xr:uid="{00000000-0005-0000-0000-00000D010000}"/>
    <cellStyle name="20% - Accent5 6" xfId="283" xr:uid="{00000000-0005-0000-0000-00000E010000}"/>
    <cellStyle name="20% - Accent5 6 2" xfId="284" xr:uid="{00000000-0005-0000-0000-00000F010000}"/>
    <cellStyle name="20% - Accent5 6 2 2" xfId="285" xr:uid="{00000000-0005-0000-0000-000010010000}"/>
    <cellStyle name="20% - Accent5 6 3" xfId="286" xr:uid="{00000000-0005-0000-0000-000011010000}"/>
    <cellStyle name="20% - Accent5 7" xfId="287" xr:uid="{00000000-0005-0000-0000-000012010000}"/>
    <cellStyle name="20% - Accent5 7 2" xfId="288" xr:uid="{00000000-0005-0000-0000-000013010000}"/>
    <cellStyle name="20% - Accent5 7 2 2" xfId="289" xr:uid="{00000000-0005-0000-0000-000014010000}"/>
    <cellStyle name="20% - Accent5 7 3" xfId="290" xr:uid="{00000000-0005-0000-0000-000015010000}"/>
    <cellStyle name="20% - Accent5 8" xfId="291" xr:uid="{00000000-0005-0000-0000-000016010000}"/>
    <cellStyle name="20% - Accent5 8 2" xfId="292" xr:uid="{00000000-0005-0000-0000-000017010000}"/>
    <cellStyle name="20% - Accent5 8 2 2" xfId="293" xr:uid="{00000000-0005-0000-0000-000018010000}"/>
    <cellStyle name="20% - Accent5 8 3" xfId="294" xr:uid="{00000000-0005-0000-0000-000019010000}"/>
    <cellStyle name="20% - Accent5 9" xfId="295" xr:uid="{00000000-0005-0000-0000-00001A010000}"/>
    <cellStyle name="20% - Accent5 9 2" xfId="296" xr:uid="{00000000-0005-0000-0000-00001B010000}"/>
    <cellStyle name="20% - Accent5 9 2 2" xfId="297" xr:uid="{00000000-0005-0000-0000-00001C010000}"/>
    <cellStyle name="20% - Accent5 9 3" xfId="298" xr:uid="{00000000-0005-0000-0000-00001D010000}"/>
    <cellStyle name="20% - Accent6 10" xfId="299" xr:uid="{00000000-0005-0000-0000-00001E010000}"/>
    <cellStyle name="20% - Accent6 10 2" xfId="300" xr:uid="{00000000-0005-0000-0000-00001F010000}"/>
    <cellStyle name="20% - Accent6 10 2 2" xfId="301" xr:uid="{00000000-0005-0000-0000-000020010000}"/>
    <cellStyle name="20% - Accent6 10 3" xfId="302" xr:uid="{00000000-0005-0000-0000-000021010000}"/>
    <cellStyle name="20% - Accent6 11" xfId="303" xr:uid="{00000000-0005-0000-0000-000022010000}"/>
    <cellStyle name="20% - Accent6 11 2" xfId="304" xr:uid="{00000000-0005-0000-0000-000023010000}"/>
    <cellStyle name="20% - Accent6 11 2 2" xfId="305" xr:uid="{00000000-0005-0000-0000-000024010000}"/>
    <cellStyle name="20% - Accent6 11 3" xfId="306" xr:uid="{00000000-0005-0000-0000-000025010000}"/>
    <cellStyle name="20% - Accent6 12" xfId="307" xr:uid="{00000000-0005-0000-0000-000026010000}"/>
    <cellStyle name="20% - Accent6 12 2" xfId="308" xr:uid="{00000000-0005-0000-0000-000027010000}"/>
    <cellStyle name="20% - Accent6 12 2 2" xfId="309" xr:uid="{00000000-0005-0000-0000-000028010000}"/>
    <cellStyle name="20% - Accent6 12 3" xfId="310" xr:uid="{00000000-0005-0000-0000-000029010000}"/>
    <cellStyle name="20% - Accent6 13" xfId="311" xr:uid="{00000000-0005-0000-0000-00002A010000}"/>
    <cellStyle name="20% - Accent6 13 2" xfId="312" xr:uid="{00000000-0005-0000-0000-00002B010000}"/>
    <cellStyle name="20% - Accent6 13 2 2" xfId="313" xr:uid="{00000000-0005-0000-0000-00002C010000}"/>
    <cellStyle name="20% - Accent6 13 3" xfId="314" xr:uid="{00000000-0005-0000-0000-00002D010000}"/>
    <cellStyle name="20% - Accent6 14" xfId="315" xr:uid="{00000000-0005-0000-0000-00002E010000}"/>
    <cellStyle name="20% - Accent6 14 2" xfId="316" xr:uid="{00000000-0005-0000-0000-00002F010000}"/>
    <cellStyle name="20% - Accent6 14 2 2" xfId="317" xr:uid="{00000000-0005-0000-0000-000030010000}"/>
    <cellStyle name="20% - Accent6 14 3" xfId="318" xr:uid="{00000000-0005-0000-0000-000031010000}"/>
    <cellStyle name="20% - Accent6 15" xfId="319" xr:uid="{00000000-0005-0000-0000-000032010000}"/>
    <cellStyle name="20% - Accent6 15 2" xfId="320" xr:uid="{00000000-0005-0000-0000-000033010000}"/>
    <cellStyle name="20% - Accent6 15 2 2" xfId="321" xr:uid="{00000000-0005-0000-0000-000034010000}"/>
    <cellStyle name="20% - Accent6 15 3" xfId="322" xr:uid="{00000000-0005-0000-0000-000035010000}"/>
    <cellStyle name="20% - Accent6 16" xfId="323" xr:uid="{00000000-0005-0000-0000-000036010000}"/>
    <cellStyle name="20% - Accent6 2" xfId="324" xr:uid="{00000000-0005-0000-0000-000037010000}"/>
    <cellStyle name="20% - Accent6 2 2" xfId="325" xr:uid="{00000000-0005-0000-0000-000038010000}"/>
    <cellStyle name="20% - Accent6 2 2 2" xfId="326" xr:uid="{00000000-0005-0000-0000-000039010000}"/>
    <cellStyle name="20% - Accent6 2 3" xfId="327" xr:uid="{00000000-0005-0000-0000-00003A010000}"/>
    <cellStyle name="20% - Accent6 3" xfId="328" xr:uid="{00000000-0005-0000-0000-00003B010000}"/>
    <cellStyle name="20% - Accent6 3 2" xfId="329" xr:uid="{00000000-0005-0000-0000-00003C010000}"/>
    <cellStyle name="20% - Accent6 3 2 2" xfId="330" xr:uid="{00000000-0005-0000-0000-00003D010000}"/>
    <cellStyle name="20% - Accent6 3 3" xfId="331" xr:uid="{00000000-0005-0000-0000-00003E010000}"/>
    <cellStyle name="20% - Accent6 4" xfId="332" xr:uid="{00000000-0005-0000-0000-00003F010000}"/>
    <cellStyle name="20% - Accent6 4 2" xfId="333" xr:uid="{00000000-0005-0000-0000-000040010000}"/>
    <cellStyle name="20% - Accent6 4 2 2" xfId="334" xr:uid="{00000000-0005-0000-0000-000041010000}"/>
    <cellStyle name="20% - Accent6 4 3" xfId="335" xr:uid="{00000000-0005-0000-0000-000042010000}"/>
    <cellStyle name="20% - Accent6 5" xfId="336" xr:uid="{00000000-0005-0000-0000-000043010000}"/>
    <cellStyle name="20% - Accent6 5 2" xfId="337" xr:uid="{00000000-0005-0000-0000-000044010000}"/>
    <cellStyle name="20% - Accent6 5 2 2" xfId="338" xr:uid="{00000000-0005-0000-0000-000045010000}"/>
    <cellStyle name="20% - Accent6 5 3" xfId="339" xr:uid="{00000000-0005-0000-0000-000046010000}"/>
    <cellStyle name="20% - Accent6 6" xfId="340" xr:uid="{00000000-0005-0000-0000-000047010000}"/>
    <cellStyle name="20% - Accent6 6 2" xfId="341" xr:uid="{00000000-0005-0000-0000-000048010000}"/>
    <cellStyle name="20% - Accent6 6 2 2" xfId="342" xr:uid="{00000000-0005-0000-0000-000049010000}"/>
    <cellStyle name="20% - Accent6 6 3" xfId="343" xr:uid="{00000000-0005-0000-0000-00004A010000}"/>
    <cellStyle name="20% - Accent6 7" xfId="344" xr:uid="{00000000-0005-0000-0000-00004B010000}"/>
    <cellStyle name="20% - Accent6 7 2" xfId="345" xr:uid="{00000000-0005-0000-0000-00004C010000}"/>
    <cellStyle name="20% - Accent6 7 2 2" xfId="346" xr:uid="{00000000-0005-0000-0000-00004D010000}"/>
    <cellStyle name="20% - Accent6 7 3" xfId="347" xr:uid="{00000000-0005-0000-0000-00004E010000}"/>
    <cellStyle name="20% - Accent6 8" xfId="348" xr:uid="{00000000-0005-0000-0000-00004F010000}"/>
    <cellStyle name="20% - Accent6 8 2" xfId="349" xr:uid="{00000000-0005-0000-0000-000050010000}"/>
    <cellStyle name="20% - Accent6 8 2 2" xfId="350" xr:uid="{00000000-0005-0000-0000-000051010000}"/>
    <cellStyle name="20% - Accent6 8 3" xfId="351" xr:uid="{00000000-0005-0000-0000-000052010000}"/>
    <cellStyle name="20% - Accent6 9" xfId="352" xr:uid="{00000000-0005-0000-0000-000053010000}"/>
    <cellStyle name="20% - Accent6 9 2" xfId="353" xr:uid="{00000000-0005-0000-0000-000054010000}"/>
    <cellStyle name="20% - Accent6 9 2 2" xfId="354" xr:uid="{00000000-0005-0000-0000-000055010000}"/>
    <cellStyle name="20% - Accent6 9 3" xfId="355" xr:uid="{00000000-0005-0000-0000-000056010000}"/>
    <cellStyle name="40% - Accent1 10" xfId="356" xr:uid="{00000000-0005-0000-0000-000057010000}"/>
    <cellStyle name="40% - Accent1 10 2" xfId="357" xr:uid="{00000000-0005-0000-0000-000058010000}"/>
    <cellStyle name="40% - Accent1 10 2 2" xfId="358" xr:uid="{00000000-0005-0000-0000-000059010000}"/>
    <cellStyle name="40% - Accent1 10 3" xfId="359" xr:uid="{00000000-0005-0000-0000-00005A010000}"/>
    <cellStyle name="40% - Accent1 11" xfId="360" xr:uid="{00000000-0005-0000-0000-00005B010000}"/>
    <cellStyle name="40% - Accent1 11 2" xfId="361" xr:uid="{00000000-0005-0000-0000-00005C010000}"/>
    <cellStyle name="40% - Accent1 11 2 2" xfId="362" xr:uid="{00000000-0005-0000-0000-00005D010000}"/>
    <cellStyle name="40% - Accent1 11 3" xfId="363" xr:uid="{00000000-0005-0000-0000-00005E010000}"/>
    <cellStyle name="40% - Accent1 12" xfId="364" xr:uid="{00000000-0005-0000-0000-00005F010000}"/>
    <cellStyle name="40% - Accent1 12 2" xfId="365" xr:uid="{00000000-0005-0000-0000-000060010000}"/>
    <cellStyle name="40% - Accent1 12 2 2" xfId="366" xr:uid="{00000000-0005-0000-0000-000061010000}"/>
    <cellStyle name="40% - Accent1 12 3" xfId="367" xr:uid="{00000000-0005-0000-0000-000062010000}"/>
    <cellStyle name="40% - Accent1 13" xfId="368" xr:uid="{00000000-0005-0000-0000-000063010000}"/>
    <cellStyle name="40% - Accent1 13 2" xfId="369" xr:uid="{00000000-0005-0000-0000-000064010000}"/>
    <cellStyle name="40% - Accent1 13 2 2" xfId="370" xr:uid="{00000000-0005-0000-0000-000065010000}"/>
    <cellStyle name="40% - Accent1 13 3" xfId="371" xr:uid="{00000000-0005-0000-0000-000066010000}"/>
    <cellStyle name="40% - Accent1 14" xfId="372" xr:uid="{00000000-0005-0000-0000-000067010000}"/>
    <cellStyle name="40% - Accent1 14 2" xfId="373" xr:uid="{00000000-0005-0000-0000-000068010000}"/>
    <cellStyle name="40% - Accent1 14 2 2" xfId="374" xr:uid="{00000000-0005-0000-0000-000069010000}"/>
    <cellStyle name="40% - Accent1 14 3" xfId="375" xr:uid="{00000000-0005-0000-0000-00006A010000}"/>
    <cellStyle name="40% - Accent1 15" xfId="376" xr:uid="{00000000-0005-0000-0000-00006B010000}"/>
    <cellStyle name="40% - Accent1 15 2" xfId="377" xr:uid="{00000000-0005-0000-0000-00006C010000}"/>
    <cellStyle name="40% - Accent1 15 2 2" xfId="378" xr:uid="{00000000-0005-0000-0000-00006D010000}"/>
    <cellStyle name="40% - Accent1 15 3" xfId="379" xr:uid="{00000000-0005-0000-0000-00006E010000}"/>
    <cellStyle name="40% - Accent1 16" xfId="380" xr:uid="{00000000-0005-0000-0000-00006F010000}"/>
    <cellStyle name="40% - Accent1 2" xfId="381" xr:uid="{00000000-0005-0000-0000-000070010000}"/>
    <cellStyle name="40% - Accent1 2 2" xfId="382" xr:uid="{00000000-0005-0000-0000-000071010000}"/>
    <cellStyle name="40% - Accent1 2 2 2" xfId="383" xr:uid="{00000000-0005-0000-0000-000072010000}"/>
    <cellStyle name="40% - Accent1 2 3" xfId="384" xr:uid="{00000000-0005-0000-0000-000073010000}"/>
    <cellStyle name="40% - Accent1 3" xfId="385" xr:uid="{00000000-0005-0000-0000-000074010000}"/>
    <cellStyle name="40% - Accent1 3 2" xfId="386" xr:uid="{00000000-0005-0000-0000-000075010000}"/>
    <cellStyle name="40% - Accent1 3 2 2" xfId="387" xr:uid="{00000000-0005-0000-0000-000076010000}"/>
    <cellStyle name="40% - Accent1 3 3" xfId="388" xr:uid="{00000000-0005-0000-0000-000077010000}"/>
    <cellStyle name="40% - Accent1 4" xfId="389" xr:uid="{00000000-0005-0000-0000-000078010000}"/>
    <cellStyle name="40% - Accent1 4 2" xfId="390" xr:uid="{00000000-0005-0000-0000-000079010000}"/>
    <cellStyle name="40% - Accent1 4 2 2" xfId="391" xr:uid="{00000000-0005-0000-0000-00007A010000}"/>
    <cellStyle name="40% - Accent1 4 3" xfId="392" xr:uid="{00000000-0005-0000-0000-00007B010000}"/>
    <cellStyle name="40% - Accent1 5" xfId="393" xr:uid="{00000000-0005-0000-0000-00007C010000}"/>
    <cellStyle name="40% - Accent1 5 2" xfId="394" xr:uid="{00000000-0005-0000-0000-00007D010000}"/>
    <cellStyle name="40% - Accent1 5 2 2" xfId="395" xr:uid="{00000000-0005-0000-0000-00007E010000}"/>
    <cellStyle name="40% - Accent1 5 3" xfId="396" xr:uid="{00000000-0005-0000-0000-00007F010000}"/>
    <cellStyle name="40% - Accent1 6" xfId="397" xr:uid="{00000000-0005-0000-0000-000080010000}"/>
    <cellStyle name="40% - Accent1 6 2" xfId="398" xr:uid="{00000000-0005-0000-0000-000081010000}"/>
    <cellStyle name="40% - Accent1 6 2 2" xfId="399" xr:uid="{00000000-0005-0000-0000-000082010000}"/>
    <cellStyle name="40% - Accent1 6 3" xfId="400" xr:uid="{00000000-0005-0000-0000-000083010000}"/>
    <cellStyle name="40% - Accent1 7" xfId="401" xr:uid="{00000000-0005-0000-0000-000084010000}"/>
    <cellStyle name="40% - Accent1 7 2" xfId="402" xr:uid="{00000000-0005-0000-0000-000085010000}"/>
    <cellStyle name="40% - Accent1 7 2 2" xfId="403" xr:uid="{00000000-0005-0000-0000-000086010000}"/>
    <cellStyle name="40% - Accent1 7 3" xfId="404" xr:uid="{00000000-0005-0000-0000-000087010000}"/>
    <cellStyle name="40% - Accent1 8" xfId="405" xr:uid="{00000000-0005-0000-0000-000088010000}"/>
    <cellStyle name="40% - Accent1 8 2" xfId="406" xr:uid="{00000000-0005-0000-0000-000089010000}"/>
    <cellStyle name="40% - Accent1 8 2 2" xfId="407" xr:uid="{00000000-0005-0000-0000-00008A010000}"/>
    <cellStyle name="40% - Accent1 8 3" xfId="408" xr:uid="{00000000-0005-0000-0000-00008B010000}"/>
    <cellStyle name="40% - Accent1 9" xfId="409" xr:uid="{00000000-0005-0000-0000-00008C010000}"/>
    <cellStyle name="40% - Accent1 9 2" xfId="410" xr:uid="{00000000-0005-0000-0000-00008D010000}"/>
    <cellStyle name="40% - Accent1 9 2 2" xfId="411" xr:uid="{00000000-0005-0000-0000-00008E010000}"/>
    <cellStyle name="40% - Accent1 9 3" xfId="412" xr:uid="{00000000-0005-0000-0000-00008F010000}"/>
    <cellStyle name="40% - Accent2 10" xfId="413" xr:uid="{00000000-0005-0000-0000-000090010000}"/>
    <cellStyle name="40% - Accent2 10 2" xfId="414" xr:uid="{00000000-0005-0000-0000-000091010000}"/>
    <cellStyle name="40% - Accent2 10 2 2" xfId="415" xr:uid="{00000000-0005-0000-0000-000092010000}"/>
    <cellStyle name="40% - Accent2 10 3" xfId="416" xr:uid="{00000000-0005-0000-0000-000093010000}"/>
    <cellStyle name="40% - Accent2 11" xfId="417" xr:uid="{00000000-0005-0000-0000-000094010000}"/>
    <cellStyle name="40% - Accent2 11 2" xfId="418" xr:uid="{00000000-0005-0000-0000-000095010000}"/>
    <cellStyle name="40% - Accent2 11 2 2" xfId="419" xr:uid="{00000000-0005-0000-0000-000096010000}"/>
    <cellStyle name="40% - Accent2 11 3" xfId="420" xr:uid="{00000000-0005-0000-0000-000097010000}"/>
    <cellStyle name="40% - Accent2 12" xfId="421" xr:uid="{00000000-0005-0000-0000-000098010000}"/>
    <cellStyle name="40% - Accent2 12 2" xfId="422" xr:uid="{00000000-0005-0000-0000-000099010000}"/>
    <cellStyle name="40% - Accent2 12 2 2" xfId="423" xr:uid="{00000000-0005-0000-0000-00009A010000}"/>
    <cellStyle name="40% - Accent2 12 3" xfId="424" xr:uid="{00000000-0005-0000-0000-00009B010000}"/>
    <cellStyle name="40% - Accent2 13" xfId="425" xr:uid="{00000000-0005-0000-0000-00009C010000}"/>
    <cellStyle name="40% - Accent2 13 2" xfId="426" xr:uid="{00000000-0005-0000-0000-00009D010000}"/>
    <cellStyle name="40% - Accent2 13 2 2" xfId="427" xr:uid="{00000000-0005-0000-0000-00009E010000}"/>
    <cellStyle name="40% - Accent2 13 3" xfId="428" xr:uid="{00000000-0005-0000-0000-00009F010000}"/>
    <cellStyle name="40% - Accent2 14" xfId="429" xr:uid="{00000000-0005-0000-0000-0000A0010000}"/>
    <cellStyle name="40% - Accent2 14 2" xfId="430" xr:uid="{00000000-0005-0000-0000-0000A1010000}"/>
    <cellStyle name="40% - Accent2 14 2 2" xfId="431" xr:uid="{00000000-0005-0000-0000-0000A2010000}"/>
    <cellStyle name="40% - Accent2 14 3" xfId="432" xr:uid="{00000000-0005-0000-0000-0000A3010000}"/>
    <cellStyle name="40% - Accent2 15" xfId="433" xr:uid="{00000000-0005-0000-0000-0000A4010000}"/>
    <cellStyle name="40% - Accent2 15 2" xfId="434" xr:uid="{00000000-0005-0000-0000-0000A5010000}"/>
    <cellStyle name="40% - Accent2 15 2 2" xfId="435" xr:uid="{00000000-0005-0000-0000-0000A6010000}"/>
    <cellStyle name="40% - Accent2 15 3" xfId="436" xr:uid="{00000000-0005-0000-0000-0000A7010000}"/>
    <cellStyle name="40% - Accent2 16" xfId="437" xr:uid="{00000000-0005-0000-0000-0000A8010000}"/>
    <cellStyle name="40% - Accent2 2" xfId="438" xr:uid="{00000000-0005-0000-0000-0000A9010000}"/>
    <cellStyle name="40% - Accent2 2 2" xfId="439" xr:uid="{00000000-0005-0000-0000-0000AA010000}"/>
    <cellStyle name="40% - Accent2 2 2 2" xfId="440" xr:uid="{00000000-0005-0000-0000-0000AB010000}"/>
    <cellStyle name="40% - Accent2 2 3" xfId="441" xr:uid="{00000000-0005-0000-0000-0000AC010000}"/>
    <cellStyle name="40% - Accent2 3" xfId="442" xr:uid="{00000000-0005-0000-0000-0000AD010000}"/>
    <cellStyle name="40% - Accent2 3 2" xfId="443" xr:uid="{00000000-0005-0000-0000-0000AE010000}"/>
    <cellStyle name="40% - Accent2 3 2 2" xfId="444" xr:uid="{00000000-0005-0000-0000-0000AF010000}"/>
    <cellStyle name="40% - Accent2 3 3" xfId="445" xr:uid="{00000000-0005-0000-0000-0000B0010000}"/>
    <cellStyle name="40% - Accent2 4" xfId="446" xr:uid="{00000000-0005-0000-0000-0000B1010000}"/>
    <cellStyle name="40% - Accent2 4 2" xfId="447" xr:uid="{00000000-0005-0000-0000-0000B2010000}"/>
    <cellStyle name="40% - Accent2 4 2 2" xfId="448" xr:uid="{00000000-0005-0000-0000-0000B3010000}"/>
    <cellStyle name="40% - Accent2 4 3" xfId="449" xr:uid="{00000000-0005-0000-0000-0000B4010000}"/>
    <cellStyle name="40% - Accent2 5" xfId="450" xr:uid="{00000000-0005-0000-0000-0000B5010000}"/>
    <cellStyle name="40% - Accent2 5 2" xfId="451" xr:uid="{00000000-0005-0000-0000-0000B6010000}"/>
    <cellStyle name="40% - Accent2 5 2 2" xfId="452" xr:uid="{00000000-0005-0000-0000-0000B7010000}"/>
    <cellStyle name="40% - Accent2 5 3" xfId="453" xr:uid="{00000000-0005-0000-0000-0000B8010000}"/>
    <cellStyle name="40% - Accent2 6" xfId="454" xr:uid="{00000000-0005-0000-0000-0000B9010000}"/>
    <cellStyle name="40% - Accent2 6 2" xfId="455" xr:uid="{00000000-0005-0000-0000-0000BA010000}"/>
    <cellStyle name="40% - Accent2 6 2 2" xfId="456" xr:uid="{00000000-0005-0000-0000-0000BB010000}"/>
    <cellStyle name="40% - Accent2 6 3" xfId="457" xr:uid="{00000000-0005-0000-0000-0000BC010000}"/>
    <cellStyle name="40% - Accent2 7" xfId="458" xr:uid="{00000000-0005-0000-0000-0000BD010000}"/>
    <cellStyle name="40% - Accent2 7 2" xfId="459" xr:uid="{00000000-0005-0000-0000-0000BE010000}"/>
    <cellStyle name="40% - Accent2 7 2 2" xfId="460" xr:uid="{00000000-0005-0000-0000-0000BF010000}"/>
    <cellStyle name="40% - Accent2 7 3" xfId="461" xr:uid="{00000000-0005-0000-0000-0000C0010000}"/>
    <cellStyle name="40% - Accent2 8" xfId="462" xr:uid="{00000000-0005-0000-0000-0000C1010000}"/>
    <cellStyle name="40% - Accent2 8 2" xfId="463" xr:uid="{00000000-0005-0000-0000-0000C2010000}"/>
    <cellStyle name="40% - Accent2 8 2 2" xfId="464" xr:uid="{00000000-0005-0000-0000-0000C3010000}"/>
    <cellStyle name="40% - Accent2 8 3" xfId="465" xr:uid="{00000000-0005-0000-0000-0000C4010000}"/>
    <cellStyle name="40% - Accent2 9" xfId="466" xr:uid="{00000000-0005-0000-0000-0000C5010000}"/>
    <cellStyle name="40% - Accent2 9 2" xfId="467" xr:uid="{00000000-0005-0000-0000-0000C6010000}"/>
    <cellStyle name="40% - Accent2 9 2 2" xfId="468" xr:uid="{00000000-0005-0000-0000-0000C7010000}"/>
    <cellStyle name="40% - Accent2 9 3" xfId="469" xr:uid="{00000000-0005-0000-0000-0000C8010000}"/>
    <cellStyle name="40% - Accent3 10" xfId="470" xr:uid="{00000000-0005-0000-0000-0000C9010000}"/>
    <cellStyle name="40% - Accent3 10 2" xfId="471" xr:uid="{00000000-0005-0000-0000-0000CA010000}"/>
    <cellStyle name="40% - Accent3 10 2 2" xfId="472" xr:uid="{00000000-0005-0000-0000-0000CB010000}"/>
    <cellStyle name="40% - Accent3 10 3" xfId="473" xr:uid="{00000000-0005-0000-0000-0000CC010000}"/>
    <cellStyle name="40% - Accent3 11" xfId="474" xr:uid="{00000000-0005-0000-0000-0000CD010000}"/>
    <cellStyle name="40% - Accent3 11 2" xfId="475" xr:uid="{00000000-0005-0000-0000-0000CE010000}"/>
    <cellStyle name="40% - Accent3 11 2 2" xfId="476" xr:uid="{00000000-0005-0000-0000-0000CF010000}"/>
    <cellStyle name="40% - Accent3 11 3" xfId="477" xr:uid="{00000000-0005-0000-0000-0000D0010000}"/>
    <cellStyle name="40% - Accent3 12" xfId="478" xr:uid="{00000000-0005-0000-0000-0000D1010000}"/>
    <cellStyle name="40% - Accent3 12 2" xfId="479" xr:uid="{00000000-0005-0000-0000-0000D2010000}"/>
    <cellStyle name="40% - Accent3 12 2 2" xfId="480" xr:uid="{00000000-0005-0000-0000-0000D3010000}"/>
    <cellStyle name="40% - Accent3 12 3" xfId="481" xr:uid="{00000000-0005-0000-0000-0000D4010000}"/>
    <cellStyle name="40% - Accent3 13" xfId="482" xr:uid="{00000000-0005-0000-0000-0000D5010000}"/>
    <cellStyle name="40% - Accent3 13 2" xfId="483" xr:uid="{00000000-0005-0000-0000-0000D6010000}"/>
    <cellStyle name="40% - Accent3 13 2 2" xfId="484" xr:uid="{00000000-0005-0000-0000-0000D7010000}"/>
    <cellStyle name="40% - Accent3 13 3" xfId="485" xr:uid="{00000000-0005-0000-0000-0000D8010000}"/>
    <cellStyle name="40% - Accent3 14" xfId="486" xr:uid="{00000000-0005-0000-0000-0000D9010000}"/>
    <cellStyle name="40% - Accent3 14 2" xfId="487" xr:uid="{00000000-0005-0000-0000-0000DA010000}"/>
    <cellStyle name="40% - Accent3 14 2 2" xfId="488" xr:uid="{00000000-0005-0000-0000-0000DB010000}"/>
    <cellStyle name="40% - Accent3 14 3" xfId="489" xr:uid="{00000000-0005-0000-0000-0000DC010000}"/>
    <cellStyle name="40% - Accent3 15" xfId="490" xr:uid="{00000000-0005-0000-0000-0000DD010000}"/>
    <cellStyle name="40% - Accent3 15 2" xfId="491" xr:uid="{00000000-0005-0000-0000-0000DE010000}"/>
    <cellStyle name="40% - Accent3 15 2 2" xfId="492" xr:uid="{00000000-0005-0000-0000-0000DF010000}"/>
    <cellStyle name="40% - Accent3 15 3" xfId="493" xr:uid="{00000000-0005-0000-0000-0000E0010000}"/>
    <cellStyle name="40% - Accent3 16" xfId="494" xr:uid="{00000000-0005-0000-0000-0000E1010000}"/>
    <cellStyle name="40% - Accent3 2" xfId="495" xr:uid="{00000000-0005-0000-0000-0000E2010000}"/>
    <cellStyle name="40% - Accent3 2 2" xfId="496" xr:uid="{00000000-0005-0000-0000-0000E3010000}"/>
    <cellStyle name="40% - Accent3 2 2 2" xfId="497" xr:uid="{00000000-0005-0000-0000-0000E4010000}"/>
    <cellStyle name="40% - Accent3 2 3" xfId="498" xr:uid="{00000000-0005-0000-0000-0000E5010000}"/>
    <cellStyle name="40% - Accent3 3" xfId="499" xr:uid="{00000000-0005-0000-0000-0000E6010000}"/>
    <cellStyle name="40% - Accent3 3 2" xfId="500" xr:uid="{00000000-0005-0000-0000-0000E7010000}"/>
    <cellStyle name="40% - Accent3 3 2 2" xfId="501" xr:uid="{00000000-0005-0000-0000-0000E8010000}"/>
    <cellStyle name="40% - Accent3 3 3" xfId="502" xr:uid="{00000000-0005-0000-0000-0000E9010000}"/>
    <cellStyle name="40% - Accent3 4" xfId="503" xr:uid="{00000000-0005-0000-0000-0000EA010000}"/>
    <cellStyle name="40% - Accent3 4 2" xfId="504" xr:uid="{00000000-0005-0000-0000-0000EB010000}"/>
    <cellStyle name="40% - Accent3 4 2 2" xfId="505" xr:uid="{00000000-0005-0000-0000-0000EC010000}"/>
    <cellStyle name="40% - Accent3 4 3" xfId="506" xr:uid="{00000000-0005-0000-0000-0000ED010000}"/>
    <cellStyle name="40% - Accent3 5" xfId="507" xr:uid="{00000000-0005-0000-0000-0000EE010000}"/>
    <cellStyle name="40% - Accent3 5 2" xfId="508" xr:uid="{00000000-0005-0000-0000-0000EF010000}"/>
    <cellStyle name="40% - Accent3 5 2 2" xfId="509" xr:uid="{00000000-0005-0000-0000-0000F0010000}"/>
    <cellStyle name="40% - Accent3 5 3" xfId="510" xr:uid="{00000000-0005-0000-0000-0000F1010000}"/>
    <cellStyle name="40% - Accent3 6" xfId="511" xr:uid="{00000000-0005-0000-0000-0000F2010000}"/>
    <cellStyle name="40% - Accent3 6 2" xfId="512" xr:uid="{00000000-0005-0000-0000-0000F3010000}"/>
    <cellStyle name="40% - Accent3 6 2 2" xfId="513" xr:uid="{00000000-0005-0000-0000-0000F4010000}"/>
    <cellStyle name="40% - Accent3 6 3" xfId="514" xr:uid="{00000000-0005-0000-0000-0000F5010000}"/>
    <cellStyle name="40% - Accent3 7" xfId="515" xr:uid="{00000000-0005-0000-0000-0000F6010000}"/>
    <cellStyle name="40% - Accent3 7 2" xfId="516" xr:uid="{00000000-0005-0000-0000-0000F7010000}"/>
    <cellStyle name="40% - Accent3 7 2 2" xfId="517" xr:uid="{00000000-0005-0000-0000-0000F8010000}"/>
    <cellStyle name="40% - Accent3 7 3" xfId="518" xr:uid="{00000000-0005-0000-0000-0000F9010000}"/>
    <cellStyle name="40% - Accent3 8" xfId="519" xr:uid="{00000000-0005-0000-0000-0000FA010000}"/>
    <cellStyle name="40% - Accent3 8 2" xfId="520" xr:uid="{00000000-0005-0000-0000-0000FB010000}"/>
    <cellStyle name="40% - Accent3 8 2 2" xfId="521" xr:uid="{00000000-0005-0000-0000-0000FC010000}"/>
    <cellStyle name="40% - Accent3 8 3" xfId="522" xr:uid="{00000000-0005-0000-0000-0000FD010000}"/>
    <cellStyle name="40% - Accent3 9" xfId="523" xr:uid="{00000000-0005-0000-0000-0000FE010000}"/>
    <cellStyle name="40% - Accent3 9 2" xfId="524" xr:uid="{00000000-0005-0000-0000-0000FF010000}"/>
    <cellStyle name="40% - Accent3 9 2 2" xfId="525" xr:uid="{00000000-0005-0000-0000-000000020000}"/>
    <cellStyle name="40% - Accent3 9 3" xfId="526" xr:uid="{00000000-0005-0000-0000-000001020000}"/>
    <cellStyle name="40% - Accent4 10" xfId="527" xr:uid="{00000000-0005-0000-0000-000002020000}"/>
    <cellStyle name="40% - Accent4 10 2" xfId="528" xr:uid="{00000000-0005-0000-0000-000003020000}"/>
    <cellStyle name="40% - Accent4 10 2 2" xfId="529" xr:uid="{00000000-0005-0000-0000-000004020000}"/>
    <cellStyle name="40% - Accent4 10 3" xfId="530" xr:uid="{00000000-0005-0000-0000-000005020000}"/>
    <cellStyle name="40% - Accent4 11" xfId="531" xr:uid="{00000000-0005-0000-0000-000006020000}"/>
    <cellStyle name="40% - Accent4 11 2" xfId="532" xr:uid="{00000000-0005-0000-0000-000007020000}"/>
    <cellStyle name="40% - Accent4 11 2 2" xfId="533" xr:uid="{00000000-0005-0000-0000-000008020000}"/>
    <cellStyle name="40% - Accent4 11 3" xfId="534" xr:uid="{00000000-0005-0000-0000-000009020000}"/>
    <cellStyle name="40% - Accent4 12" xfId="535" xr:uid="{00000000-0005-0000-0000-00000A020000}"/>
    <cellStyle name="40% - Accent4 12 2" xfId="536" xr:uid="{00000000-0005-0000-0000-00000B020000}"/>
    <cellStyle name="40% - Accent4 12 2 2" xfId="537" xr:uid="{00000000-0005-0000-0000-00000C020000}"/>
    <cellStyle name="40% - Accent4 12 3" xfId="538" xr:uid="{00000000-0005-0000-0000-00000D020000}"/>
    <cellStyle name="40% - Accent4 13" xfId="539" xr:uid="{00000000-0005-0000-0000-00000E020000}"/>
    <cellStyle name="40% - Accent4 13 2" xfId="540" xr:uid="{00000000-0005-0000-0000-00000F020000}"/>
    <cellStyle name="40% - Accent4 13 2 2" xfId="541" xr:uid="{00000000-0005-0000-0000-000010020000}"/>
    <cellStyle name="40% - Accent4 13 3" xfId="542" xr:uid="{00000000-0005-0000-0000-000011020000}"/>
    <cellStyle name="40% - Accent4 14" xfId="543" xr:uid="{00000000-0005-0000-0000-000012020000}"/>
    <cellStyle name="40% - Accent4 14 2" xfId="544" xr:uid="{00000000-0005-0000-0000-000013020000}"/>
    <cellStyle name="40% - Accent4 14 2 2" xfId="545" xr:uid="{00000000-0005-0000-0000-000014020000}"/>
    <cellStyle name="40% - Accent4 14 3" xfId="546" xr:uid="{00000000-0005-0000-0000-000015020000}"/>
    <cellStyle name="40% - Accent4 15" xfId="547" xr:uid="{00000000-0005-0000-0000-000016020000}"/>
    <cellStyle name="40% - Accent4 15 2" xfId="548" xr:uid="{00000000-0005-0000-0000-000017020000}"/>
    <cellStyle name="40% - Accent4 15 2 2" xfId="549" xr:uid="{00000000-0005-0000-0000-000018020000}"/>
    <cellStyle name="40% - Accent4 15 3" xfId="550" xr:uid="{00000000-0005-0000-0000-000019020000}"/>
    <cellStyle name="40% - Accent4 16" xfId="551" xr:uid="{00000000-0005-0000-0000-00001A020000}"/>
    <cellStyle name="40% - Accent4 2" xfId="552" xr:uid="{00000000-0005-0000-0000-00001B020000}"/>
    <cellStyle name="40% - Accent4 2 2" xfId="553" xr:uid="{00000000-0005-0000-0000-00001C020000}"/>
    <cellStyle name="40% - Accent4 2 2 2" xfId="554" xr:uid="{00000000-0005-0000-0000-00001D020000}"/>
    <cellStyle name="40% - Accent4 2 3" xfId="555" xr:uid="{00000000-0005-0000-0000-00001E020000}"/>
    <cellStyle name="40% - Accent4 3" xfId="556" xr:uid="{00000000-0005-0000-0000-00001F020000}"/>
    <cellStyle name="40% - Accent4 3 2" xfId="557" xr:uid="{00000000-0005-0000-0000-000020020000}"/>
    <cellStyle name="40% - Accent4 3 2 2" xfId="558" xr:uid="{00000000-0005-0000-0000-000021020000}"/>
    <cellStyle name="40% - Accent4 3 3" xfId="559" xr:uid="{00000000-0005-0000-0000-000022020000}"/>
    <cellStyle name="40% - Accent4 4" xfId="560" xr:uid="{00000000-0005-0000-0000-000023020000}"/>
    <cellStyle name="40% - Accent4 4 2" xfId="561" xr:uid="{00000000-0005-0000-0000-000024020000}"/>
    <cellStyle name="40% - Accent4 4 2 2" xfId="562" xr:uid="{00000000-0005-0000-0000-000025020000}"/>
    <cellStyle name="40% - Accent4 4 3" xfId="563" xr:uid="{00000000-0005-0000-0000-000026020000}"/>
    <cellStyle name="40% - Accent4 5" xfId="564" xr:uid="{00000000-0005-0000-0000-000027020000}"/>
    <cellStyle name="40% - Accent4 5 2" xfId="565" xr:uid="{00000000-0005-0000-0000-000028020000}"/>
    <cellStyle name="40% - Accent4 5 2 2" xfId="566" xr:uid="{00000000-0005-0000-0000-000029020000}"/>
    <cellStyle name="40% - Accent4 5 3" xfId="567" xr:uid="{00000000-0005-0000-0000-00002A020000}"/>
    <cellStyle name="40% - Accent4 6" xfId="568" xr:uid="{00000000-0005-0000-0000-00002B020000}"/>
    <cellStyle name="40% - Accent4 6 2" xfId="569" xr:uid="{00000000-0005-0000-0000-00002C020000}"/>
    <cellStyle name="40% - Accent4 6 2 2" xfId="570" xr:uid="{00000000-0005-0000-0000-00002D020000}"/>
    <cellStyle name="40% - Accent4 6 3" xfId="571" xr:uid="{00000000-0005-0000-0000-00002E020000}"/>
    <cellStyle name="40% - Accent4 7" xfId="572" xr:uid="{00000000-0005-0000-0000-00002F020000}"/>
    <cellStyle name="40% - Accent4 7 2" xfId="573" xr:uid="{00000000-0005-0000-0000-000030020000}"/>
    <cellStyle name="40% - Accent4 7 2 2" xfId="574" xr:uid="{00000000-0005-0000-0000-000031020000}"/>
    <cellStyle name="40% - Accent4 7 3" xfId="575" xr:uid="{00000000-0005-0000-0000-000032020000}"/>
    <cellStyle name="40% - Accent4 8" xfId="576" xr:uid="{00000000-0005-0000-0000-000033020000}"/>
    <cellStyle name="40% - Accent4 8 2" xfId="577" xr:uid="{00000000-0005-0000-0000-000034020000}"/>
    <cellStyle name="40% - Accent4 8 2 2" xfId="578" xr:uid="{00000000-0005-0000-0000-000035020000}"/>
    <cellStyle name="40% - Accent4 8 3" xfId="579" xr:uid="{00000000-0005-0000-0000-000036020000}"/>
    <cellStyle name="40% - Accent4 9" xfId="580" xr:uid="{00000000-0005-0000-0000-000037020000}"/>
    <cellStyle name="40% - Accent4 9 2" xfId="581" xr:uid="{00000000-0005-0000-0000-000038020000}"/>
    <cellStyle name="40% - Accent4 9 2 2" xfId="582" xr:uid="{00000000-0005-0000-0000-000039020000}"/>
    <cellStyle name="40% - Accent4 9 3" xfId="583" xr:uid="{00000000-0005-0000-0000-00003A020000}"/>
    <cellStyle name="40% - Accent5 10" xfId="584" xr:uid="{00000000-0005-0000-0000-00003B020000}"/>
    <cellStyle name="40% - Accent5 10 2" xfId="585" xr:uid="{00000000-0005-0000-0000-00003C020000}"/>
    <cellStyle name="40% - Accent5 10 2 2" xfId="586" xr:uid="{00000000-0005-0000-0000-00003D020000}"/>
    <cellStyle name="40% - Accent5 10 3" xfId="587" xr:uid="{00000000-0005-0000-0000-00003E020000}"/>
    <cellStyle name="40% - Accent5 11" xfId="588" xr:uid="{00000000-0005-0000-0000-00003F020000}"/>
    <cellStyle name="40% - Accent5 11 2" xfId="589" xr:uid="{00000000-0005-0000-0000-000040020000}"/>
    <cellStyle name="40% - Accent5 11 2 2" xfId="590" xr:uid="{00000000-0005-0000-0000-000041020000}"/>
    <cellStyle name="40% - Accent5 11 3" xfId="591" xr:uid="{00000000-0005-0000-0000-000042020000}"/>
    <cellStyle name="40% - Accent5 12" xfId="592" xr:uid="{00000000-0005-0000-0000-000043020000}"/>
    <cellStyle name="40% - Accent5 12 2" xfId="593" xr:uid="{00000000-0005-0000-0000-000044020000}"/>
    <cellStyle name="40% - Accent5 12 2 2" xfId="594" xr:uid="{00000000-0005-0000-0000-000045020000}"/>
    <cellStyle name="40% - Accent5 12 3" xfId="595" xr:uid="{00000000-0005-0000-0000-000046020000}"/>
    <cellStyle name="40% - Accent5 13" xfId="596" xr:uid="{00000000-0005-0000-0000-000047020000}"/>
    <cellStyle name="40% - Accent5 13 2" xfId="597" xr:uid="{00000000-0005-0000-0000-000048020000}"/>
    <cellStyle name="40% - Accent5 13 2 2" xfId="598" xr:uid="{00000000-0005-0000-0000-000049020000}"/>
    <cellStyle name="40% - Accent5 13 3" xfId="599" xr:uid="{00000000-0005-0000-0000-00004A020000}"/>
    <cellStyle name="40% - Accent5 14" xfId="600" xr:uid="{00000000-0005-0000-0000-00004B020000}"/>
    <cellStyle name="40% - Accent5 14 2" xfId="601" xr:uid="{00000000-0005-0000-0000-00004C020000}"/>
    <cellStyle name="40% - Accent5 14 2 2" xfId="602" xr:uid="{00000000-0005-0000-0000-00004D020000}"/>
    <cellStyle name="40% - Accent5 14 3" xfId="603" xr:uid="{00000000-0005-0000-0000-00004E020000}"/>
    <cellStyle name="40% - Accent5 15" xfId="604" xr:uid="{00000000-0005-0000-0000-00004F020000}"/>
    <cellStyle name="40% - Accent5 15 2" xfId="605" xr:uid="{00000000-0005-0000-0000-000050020000}"/>
    <cellStyle name="40% - Accent5 15 2 2" xfId="606" xr:uid="{00000000-0005-0000-0000-000051020000}"/>
    <cellStyle name="40% - Accent5 15 3" xfId="607" xr:uid="{00000000-0005-0000-0000-000052020000}"/>
    <cellStyle name="40% - Accent5 16" xfId="608" xr:uid="{00000000-0005-0000-0000-000053020000}"/>
    <cellStyle name="40% - Accent5 2" xfId="609" xr:uid="{00000000-0005-0000-0000-000054020000}"/>
    <cellStyle name="40% - Accent5 2 2" xfId="610" xr:uid="{00000000-0005-0000-0000-000055020000}"/>
    <cellStyle name="40% - Accent5 2 2 2" xfId="611" xr:uid="{00000000-0005-0000-0000-000056020000}"/>
    <cellStyle name="40% - Accent5 2 3" xfId="612" xr:uid="{00000000-0005-0000-0000-000057020000}"/>
    <cellStyle name="40% - Accent5 3" xfId="613" xr:uid="{00000000-0005-0000-0000-000058020000}"/>
    <cellStyle name="40% - Accent5 3 2" xfId="614" xr:uid="{00000000-0005-0000-0000-000059020000}"/>
    <cellStyle name="40% - Accent5 3 2 2" xfId="615" xr:uid="{00000000-0005-0000-0000-00005A020000}"/>
    <cellStyle name="40% - Accent5 3 3" xfId="616" xr:uid="{00000000-0005-0000-0000-00005B020000}"/>
    <cellStyle name="40% - Accent5 4" xfId="617" xr:uid="{00000000-0005-0000-0000-00005C020000}"/>
    <cellStyle name="40% - Accent5 4 2" xfId="618" xr:uid="{00000000-0005-0000-0000-00005D020000}"/>
    <cellStyle name="40% - Accent5 4 2 2" xfId="619" xr:uid="{00000000-0005-0000-0000-00005E020000}"/>
    <cellStyle name="40% - Accent5 4 3" xfId="620" xr:uid="{00000000-0005-0000-0000-00005F020000}"/>
    <cellStyle name="40% - Accent5 5" xfId="621" xr:uid="{00000000-0005-0000-0000-000060020000}"/>
    <cellStyle name="40% - Accent5 5 2" xfId="622" xr:uid="{00000000-0005-0000-0000-000061020000}"/>
    <cellStyle name="40% - Accent5 5 2 2" xfId="623" xr:uid="{00000000-0005-0000-0000-000062020000}"/>
    <cellStyle name="40% - Accent5 5 3" xfId="624" xr:uid="{00000000-0005-0000-0000-000063020000}"/>
    <cellStyle name="40% - Accent5 6" xfId="625" xr:uid="{00000000-0005-0000-0000-000064020000}"/>
    <cellStyle name="40% - Accent5 6 2" xfId="626" xr:uid="{00000000-0005-0000-0000-000065020000}"/>
    <cellStyle name="40% - Accent5 6 2 2" xfId="627" xr:uid="{00000000-0005-0000-0000-000066020000}"/>
    <cellStyle name="40% - Accent5 6 3" xfId="628" xr:uid="{00000000-0005-0000-0000-000067020000}"/>
    <cellStyle name="40% - Accent5 7" xfId="629" xr:uid="{00000000-0005-0000-0000-000068020000}"/>
    <cellStyle name="40% - Accent5 7 2" xfId="630" xr:uid="{00000000-0005-0000-0000-000069020000}"/>
    <cellStyle name="40% - Accent5 7 2 2" xfId="631" xr:uid="{00000000-0005-0000-0000-00006A020000}"/>
    <cellStyle name="40% - Accent5 7 3" xfId="632" xr:uid="{00000000-0005-0000-0000-00006B020000}"/>
    <cellStyle name="40% - Accent5 8" xfId="633" xr:uid="{00000000-0005-0000-0000-00006C020000}"/>
    <cellStyle name="40% - Accent5 8 2" xfId="634" xr:uid="{00000000-0005-0000-0000-00006D020000}"/>
    <cellStyle name="40% - Accent5 8 2 2" xfId="635" xr:uid="{00000000-0005-0000-0000-00006E020000}"/>
    <cellStyle name="40% - Accent5 8 3" xfId="636" xr:uid="{00000000-0005-0000-0000-00006F020000}"/>
    <cellStyle name="40% - Accent5 9" xfId="637" xr:uid="{00000000-0005-0000-0000-000070020000}"/>
    <cellStyle name="40% - Accent5 9 2" xfId="638" xr:uid="{00000000-0005-0000-0000-000071020000}"/>
    <cellStyle name="40% - Accent5 9 2 2" xfId="639" xr:uid="{00000000-0005-0000-0000-000072020000}"/>
    <cellStyle name="40% - Accent5 9 3" xfId="640" xr:uid="{00000000-0005-0000-0000-000073020000}"/>
    <cellStyle name="40% - Accent6 10" xfId="641" xr:uid="{00000000-0005-0000-0000-000074020000}"/>
    <cellStyle name="40% - Accent6 10 2" xfId="642" xr:uid="{00000000-0005-0000-0000-000075020000}"/>
    <cellStyle name="40% - Accent6 10 2 2" xfId="643" xr:uid="{00000000-0005-0000-0000-000076020000}"/>
    <cellStyle name="40% - Accent6 10 3" xfId="644" xr:uid="{00000000-0005-0000-0000-000077020000}"/>
    <cellStyle name="40% - Accent6 11" xfId="645" xr:uid="{00000000-0005-0000-0000-000078020000}"/>
    <cellStyle name="40% - Accent6 11 2" xfId="646" xr:uid="{00000000-0005-0000-0000-000079020000}"/>
    <cellStyle name="40% - Accent6 11 2 2" xfId="647" xr:uid="{00000000-0005-0000-0000-00007A020000}"/>
    <cellStyle name="40% - Accent6 11 3" xfId="648" xr:uid="{00000000-0005-0000-0000-00007B020000}"/>
    <cellStyle name="40% - Accent6 12" xfId="649" xr:uid="{00000000-0005-0000-0000-00007C020000}"/>
    <cellStyle name="40% - Accent6 12 2" xfId="650" xr:uid="{00000000-0005-0000-0000-00007D020000}"/>
    <cellStyle name="40% - Accent6 12 2 2" xfId="651" xr:uid="{00000000-0005-0000-0000-00007E020000}"/>
    <cellStyle name="40% - Accent6 12 3" xfId="652" xr:uid="{00000000-0005-0000-0000-00007F020000}"/>
    <cellStyle name="40% - Accent6 13" xfId="653" xr:uid="{00000000-0005-0000-0000-000080020000}"/>
    <cellStyle name="40% - Accent6 13 2" xfId="654" xr:uid="{00000000-0005-0000-0000-000081020000}"/>
    <cellStyle name="40% - Accent6 13 2 2" xfId="655" xr:uid="{00000000-0005-0000-0000-000082020000}"/>
    <cellStyle name="40% - Accent6 13 3" xfId="656" xr:uid="{00000000-0005-0000-0000-000083020000}"/>
    <cellStyle name="40% - Accent6 14" xfId="657" xr:uid="{00000000-0005-0000-0000-000084020000}"/>
    <cellStyle name="40% - Accent6 14 2" xfId="658" xr:uid="{00000000-0005-0000-0000-000085020000}"/>
    <cellStyle name="40% - Accent6 14 2 2" xfId="659" xr:uid="{00000000-0005-0000-0000-000086020000}"/>
    <cellStyle name="40% - Accent6 14 3" xfId="660" xr:uid="{00000000-0005-0000-0000-000087020000}"/>
    <cellStyle name="40% - Accent6 15" xfId="661" xr:uid="{00000000-0005-0000-0000-000088020000}"/>
    <cellStyle name="40% - Accent6 15 2" xfId="662" xr:uid="{00000000-0005-0000-0000-000089020000}"/>
    <cellStyle name="40% - Accent6 15 2 2" xfId="663" xr:uid="{00000000-0005-0000-0000-00008A020000}"/>
    <cellStyle name="40% - Accent6 15 3" xfId="664" xr:uid="{00000000-0005-0000-0000-00008B020000}"/>
    <cellStyle name="40% - Accent6 16" xfId="665" xr:uid="{00000000-0005-0000-0000-00008C020000}"/>
    <cellStyle name="40% - Accent6 2" xfId="666" xr:uid="{00000000-0005-0000-0000-00008D020000}"/>
    <cellStyle name="40% - Accent6 2 2" xfId="667" xr:uid="{00000000-0005-0000-0000-00008E020000}"/>
    <cellStyle name="40% - Accent6 2 2 2" xfId="668" xr:uid="{00000000-0005-0000-0000-00008F020000}"/>
    <cellStyle name="40% - Accent6 2 3" xfId="669" xr:uid="{00000000-0005-0000-0000-000090020000}"/>
    <cellStyle name="40% - Accent6 3" xfId="670" xr:uid="{00000000-0005-0000-0000-000091020000}"/>
    <cellStyle name="40% - Accent6 3 2" xfId="671" xr:uid="{00000000-0005-0000-0000-000092020000}"/>
    <cellStyle name="40% - Accent6 3 2 2" xfId="672" xr:uid="{00000000-0005-0000-0000-000093020000}"/>
    <cellStyle name="40% - Accent6 3 3" xfId="673" xr:uid="{00000000-0005-0000-0000-000094020000}"/>
    <cellStyle name="40% - Accent6 4" xfId="674" xr:uid="{00000000-0005-0000-0000-000095020000}"/>
    <cellStyle name="40% - Accent6 4 2" xfId="675" xr:uid="{00000000-0005-0000-0000-000096020000}"/>
    <cellStyle name="40% - Accent6 4 2 2" xfId="676" xr:uid="{00000000-0005-0000-0000-000097020000}"/>
    <cellStyle name="40% - Accent6 4 3" xfId="677" xr:uid="{00000000-0005-0000-0000-000098020000}"/>
    <cellStyle name="40% - Accent6 5" xfId="678" xr:uid="{00000000-0005-0000-0000-000099020000}"/>
    <cellStyle name="40% - Accent6 5 2" xfId="679" xr:uid="{00000000-0005-0000-0000-00009A020000}"/>
    <cellStyle name="40% - Accent6 5 2 2" xfId="680" xr:uid="{00000000-0005-0000-0000-00009B020000}"/>
    <cellStyle name="40% - Accent6 5 3" xfId="681" xr:uid="{00000000-0005-0000-0000-00009C020000}"/>
    <cellStyle name="40% - Accent6 6" xfId="682" xr:uid="{00000000-0005-0000-0000-00009D020000}"/>
    <cellStyle name="40% - Accent6 6 2" xfId="683" xr:uid="{00000000-0005-0000-0000-00009E020000}"/>
    <cellStyle name="40% - Accent6 6 2 2" xfId="684" xr:uid="{00000000-0005-0000-0000-00009F020000}"/>
    <cellStyle name="40% - Accent6 6 3" xfId="685" xr:uid="{00000000-0005-0000-0000-0000A0020000}"/>
    <cellStyle name="40% - Accent6 7" xfId="686" xr:uid="{00000000-0005-0000-0000-0000A1020000}"/>
    <cellStyle name="40% - Accent6 7 2" xfId="687" xr:uid="{00000000-0005-0000-0000-0000A2020000}"/>
    <cellStyle name="40% - Accent6 7 2 2" xfId="688" xr:uid="{00000000-0005-0000-0000-0000A3020000}"/>
    <cellStyle name="40% - Accent6 7 3" xfId="689" xr:uid="{00000000-0005-0000-0000-0000A4020000}"/>
    <cellStyle name="40% - Accent6 8" xfId="690" xr:uid="{00000000-0005-0000-0000-0000A5020000}"/>
    <cellStyle name="40% - Accent6 8 2" xfId="691" xr:uid="{00000000-0005-0000-0000-0000A6020000}"/>
    <cellStyle name="40% - Accent6 8 2 2" xfId="692" xr:uid="{00000000-0005-0000-0000-0000A7020000}"/>
    <cellStyle name="40% - Accent6 8 3" xfId="693" xr:uid="{00000000-0005-0000-0000-0000A8020000}"/>
    <cellStyle name="40% - Accent6 9" xfId="694" xr:uid="{00000000-0005-0000-0000-0000A9020000}"/>
    <cellStyle name="40% - Accent6 9 2" xfId="695" xr:uid="{00000000-0005-0000-0000-0000AA020000}"/>
    <cellStyle name="40% - Accent6 9 2 2" xfId="696" xr:uid="{00000000-0005-0000-0000-0000AB020000}"/>
    <cellStyle name="40% - Accent6 9 3" xfId="697" xr:uid="{00000000-0005-0000-0000-0000AC020000}"/>
    <cellStyle name="60% - Accent1 10" xfId="698" xr:uid="{00000000-0005-0000-0000-0000AD020000}"/>
    <cellStyle name="60% - Accent1 11" xfId="699" xr:uid="{00000000-0005-0000-0000-0000AE020000}"/>
    <cellStyle name="60% - Accent1 12" xfId="700" xr:uid="{00000000-0005-0000-0000-0000AF020000}"/>
    <cellStyle name="60% - Accent1 13" xfId="701" xr:uid="{00000000-0005-0000-0000-0000B0020000}"/>
    <cellStyle name="60% - Accent1 14" xfId="702" xr:uid="{00000000-0005-0000-0000-0000B1020000}"/>
    <cellStyle name="60% - Accent1 15" xfId="703" xr:uid="{00000000-0005-0000-0000-0000B2020000}"/>
    <cellStyle name="60% - Accent1 16" xfId="704" xr:uid="{00000000-0005-0000-0000-0000B3020000}"/>
    <cellStyle name="60% - Accent1 2" xfId="705" xr:uid="{00000000-0005-0000-0000-0000B4020000}"/>
    <cellStyle name="60% - Accent1 3" xfId="706" xr:uid="{00000000-0005-0000-0000-0000B5020000}"/>
    <cellStyle name="60% - Accent1 4" xfId="707" xr:uid="{00000000-0005-0000-0000-0000B6020000}"/>
    <cellStyle name="60% - Accent1 5" xfId="708" xr:uid="{00000000-0005-0000-0000-0000B7020000}"/>
    <cellStyle name="60% - Accent1 6" xfId="709" xr:uid="{00000000-0005-0000-0000-0000B8020000}"/>
    <cellStyle name="60% - Accent1 7" xfId="710" xr:uid="{00000000-0005-0000-0000-0000B9020000}"/>
    <cellStyle name="60% - Accent1 8" xfId="711" xr:uid="{00000000-0005-0000-0000-0000BA020000}"/>
    <cellStyle name="60% - Accent1 9" xfId="712" xr:uid="{00000000-0005-0000-0000-0000BB020000}"/>
    <cellStyle name="60% - Accent2 10" xfId="713" xr:uid="{00000000-0005-0000-0000-0000BC020000}"/>
    <cellStyle name="60% - Accent2 11" xfId="714" xr:uid="{00000000-0005-0000-0000-0000BD020000}"/>
    <cellStyle name="60% - Accent2 12" xfId="715" xr:uid="{00000000-0005-0000-0000-0000BE020000}"/>
    <cellStyle name="60% - Accent2 13" xfId="716" xr:uid="{00000000-0005-0000-0000-0000BF020000}"/>
    <cellStyle name="60% - Accent2 14" xfId="717" xr:uid="{00000000-0005-0000-0000-0000C0020000}"/>
    <cellStyle name="60% - Accent2 15" xfId="718" xr:uid="{00000000-0005-0000-0000-0000C1020000}"/>
    <cellStyle name="60% - Accent2 16" xfId="719" xr:uid="{00000000-0005-0000-0000-0000C2020000}"/>
    <cellStyle name="60% - Accent2 2" xfId="720" xr:uid="{00000000-0005-0000-0000-0000C3020000}"/>
    <cellStyle name="60% - Accent2 3" xfId="721" xr:uid="{00000000-0005-0000-0000-0000C4020000}"/>
    <cellStyle name="60% - Accent2 4" xfId="722" xr:uid="{00000000-0005-0000-0000-0000C5020000}"/>
    <cellStyle name="60% - Accent2 5" xfId="723" xr:uid="{00000000-0005-0000-0000-0000C6020000}"/>
    <cellStyle name="60% - Accent2 6" xfId="724" xr:uid="{00000000-0005-0000-0000-0000C7020000}"/>
    <cellStyle name="60% - Accent2 7" xfId="725" xr:uid="{00000000-0005-0000-0000-0000C8020000}"/>
    <cellStyle name="60% - Accent2 8" xfId="726" xr:uid="{00000000-0005-0000-0000-0000C9020000}"/>
    <cellStyle name="60% - Accent2 9" xfId="727" xr:uid="{00000000-0005-0000-0000-0000CA020000}"/>
    <cellStyle name="60% - Accent3 10" xfId="728" xr:uid="{00000000-0005-0000-0000-0000CB020000}"/>
    <cellStyle name="60% - Accent3 11" xfId="729" xr:uid="{00000000-0005-0000-0000-0000CC020000}"/>
    <cellStyle name="60% - Accent3 12" xfId="730" xr:uid="{00000000-0005-0000-0000-0000CD020000}"/>
    <cellStyle name="60% - Accent3 13" xfId="731" xr:uid="{00000000-0005-0000-0000-0000CE020000}"/>
    <cellStyle name="60% - Accent3 14" xfId="732" xr:uid="{00000000-0005-0000-0000-0000CF020000}"/>
    <cellStyle name="60% - Accent3 15" xfId="733" xr:uid="{00000000-0005-0000-0000-0000D0020000}"/>
    <cellStyle name="60% - Accent3 16" xfId="734" xr:uid="{00000000-0005-0000-0000-0000D1020000}"/>
    <cellStyle name="60% - Accent3 2" xfId="735" xr:uid="{00000000-0005-0000-0000-0000D2020000}"/>
    <cellStyle name="60% - Accent3 3" xfId="736" xr:uid="{00000000-0005-0000-0000-0000D3020000}"/>
    <cellStyle name="60% - Accent3 4" xfId="737" xr:uid="{00000000-0005-0000-0000-0000D4020000}"/>
    <cellStyle name="60% - Accent3 5" xfId="738" xr:uid="{00000000-0005-0000-0000-0000D5020000}"/>
    <cellStyle name="60% - Accent3 6" xfId="739" xr:uid="{00000000-0005-0000-0000-0000D6020000}"/>
    <cellStyle name="60% - Accent3 7" xfId="740" xr:uid="{00000000-0005-0000-0000-0000D7020000}"/>
    <cellStyle name="60% - Accent3 8" xfId="741" xr:uid="{00000000-0005-0000-0000-0000D8020000}"/>
    <cellStyle name="60% - Accent3 9" xfId="742" xr:uid="{00000000-0005-0000-0000-0000D9020000}"/>
    <cellStyle name="60% - Accent4 10" xfId="743" xr:uid="{00000000-0005-0000-0000-0000DA020000}"/>
    <cellStyle name="60% - Accent4 11" xfId="744" xr:uid="{00000000-0005-0000-0000-0000DB020000}"/>
    <cellStyle name="60% - Accent4 12" xfId="745" xr:uid="{00000000-0005-0000-0000-0000DC020000}"/>
    <cellStyle name="60% - Accent4 13" xfId="746" xr:uid="{00000000-0005-0000-0000-0000DD020000}"/>
    <cellStyle name="60% - Accent4 14" xfId="747" xr:uid="{00000000-0005-0000-0000-0000DE020000}"/>
    <cellStyle name="60% - Accent4 15" xfId="748" xr:uid="{00000000-0005-0000-0000-0000DF020000}"/>
    <cellStyle name="60% - Accent4 16" xfId="749" xr:uid="{00000000-0005-0000-0000-0000E0020000}"/>
    <cellStyle name="60% - Accent4 2" xfId="750" xr:uid="{00000000-0005-0000-0000-0000E1020000}"/>
    <cellStyle name="60% - Accent4 3" xfId="751" xr:uid="{00000000-0005-0000-0000-0000E2020000}"/>
    <cellStyle name="60% - Accent4 4" xfId="752" xr:uid="{00000000-0005-0000-0000-0000E3020000}"/>
    <cellStyle name="60% - Accent4 5" xfId="753" xr:uid="{00000000-0005-0000-0000-0000E4020000}"/>
    <cellStyle name="60% - Accent4 6" xfId="754" xr:uid="{00000000-0005-0000-0000-0000E5020000}"/>
    <cellStyle name="60% - Accent4 7" xfId="755" xr:uid="{00000000-0005-0000-0000-0000E6020000}"/>
    <cellStyle name="60% - Accent4 8" xfId="756" xr:uid="{00000000-0005-0000-0000-0000E7020000}"/>
    <cellStyle name="60% - Accent4 9" xfId="757" xr:uid="{00000000-0005-0000-0000-0000E8020000}"/>
    <cellStyle name="60% - Accent5 10" xfId="758" xr:uid="{00000000-0005-0000-0000-0000E9020000}"/>
    <cellStyle name="60% - Accent5 11" xfId="759" xr:uid="{00000000-0005-0000-0000-0000EA020000}"/>
    <cellStyle name="60% - Accent5 12" xfId="760" xr:uid="{00000000-0005-0000-0000-0000EB020000}"/>
    <cellStyle name="60% - Accent5 13" xfId="761" xr:uid="{00000000-0005-0000-0000-0000EC020000}"/>
    <cellStyle name="60% - Accent5 14" xfId="762" xr:uid="{00000000-0005-0000-0000-0000ED020000}"/>
    <cellStyle name="60% - Accent5 15" xfId="763" xr:uid="{00000000-0005-0000-0000-0000EE020000}"/>
    <cellStyle name="60% - Accent5 16" xfId="764" xr:uid="{00000000-0005-0000-0000-0000EF020000}"/>
    <cellStyle name="60% - Accent5 2" xfId="765" xr:uid="{00000000-0005-0000-0000-0000F0020000}"/>
    <cellStyle name="60% - Accent5 3" xfId="766" xr:uid="{00000000-0005-0000-0000-0000F1020000}"/>
    <cellStyle name="60% - Accent5 4" xfId="767" xr:uid="{00000000-0005-0000-0000-0000F2020000}"/>
    <cellStyle name="60% - Accent5 5" xfId="768" xr:uid="{00000000-0005-0000-0000-0000F3020000}"/>
    <cellStyle name="60% - Accent5 6" xfId="769" xr:uid="{00000000-0005-0000-0000-0000F4020000}"/>
    <cellStyle name="60% - Accent5 7" xfId="770" xr:uid="{00000000-0005-0000-0000-0000F5020000}"/>
    <cellStyle name="60% - Accent5 8" xfId="771" xr:uid="{00000000-0005-0000-0000-0000F6020000}"/>
    <cellStyle name="60% - Accent5 9" xfId="772" xr:uid="{00000000-0005-0000-0000-0000F7020000}"/>
    <cellStyle name="60% - Accent6 10" xfId="773" xr:uid="{00000000-0005-0000-0000-0000F8020000}"/>
    <cellStyle name="60% - Accent6 11" xfId="774" xr:uid="{00000000-0005-0000-0000-0000F9020000}"/>
    <cellStyle name="60% - Accent6 12" xfId="775" xr:uid="{00000000-0005-0000-0000-0000FA020000}"/>
    <cellStyle name="60% - Accent6 13" xfId="776" xr:uid="{00000000-0005-0000-0000-0000FB020000}"/>
    <cellStyle name="60% - Accent6 14" xfId="777" xr:uid="{00000000-0005-0000-0000-0000FC020000}"/>
    <cellStyle name="60% - Accent6 15" xfId="778" xr:uid="{00000000-0005-0000-0000-0000FD020000}"/>
    <cellStyle name="60% - Accent6 16" xfId="779" xr:uid="{00000000-0005-0000-0000-0000FE020000}"/>
    <cellStyle name="60% - Accent6 2" xfId="780" xr:uid="{00000000-0005-0000-0000-0000FF020000}"/>
    <cellStyle name="60% - Accent6 3" xfId="781" xr:uid="{00000000-0005-0000-0000-000000030000}"/>
    <cellStyle name="60% - Accent6 4" xfId="782" xr:uid="{00000000-0005-0000-0000-000001030000}"/>
    <cellStyle name="60% - Accent6 5" xfId="783" xr:uid="{00000000-0005-0000-0000-000002030000}"/>
    <cellStyle name="60% - Accent6 6" xfId="784" xr:uid="{00000000-0005-0000-0000-000003030000}"/>
    <cellStyle name="60% - Accent6 7" xfId="785" xr:uid="{00000000-0005-0000-0000-000004030000}"/>
    <cellStyle name="60% - Accent6 8" xfId="786" xr:uid="{00000000-0005-0000-0000-000005030000}"/>
    <cellStyle name="60% - Accent6 9" xfId="787" xr:uid="{00000000-0005-0000-0000-000006030000}"/>
    <cellStyle name="Accent1 10" xfId="788" xr:uid="{00000000-0005-0000-0000-000007030000}"/>
    <cellStyle name="Accent1 11" xfId="789" xr:uid="{00000000-0005-0000-0000-000008030000}"/>
    <cellStyle name="Accent1 12" xfId="790" xr:uid="{00000000-0005-0000-0000-000009030000}"/>
    <cellStyle name="Accent1 13" xfId="791" xr:uid="{00000000-0005-0000-0000-00000A030000}"/>
    <cellStyle name="Accent1 14" xfId="792" xr:uid="{00000000-0005-0000-0000-00000B030000}"/>
    <cellStyle name="Accent1 15" xfId="793" xr:uid="{00000000-0005-0000-0000-00000C030000}"/>
    <cellStyle name="Accent1 16" xfId="794" xr:uid="{00000000-0005-0000-0000-00000D030000}"/>
    <cellStyle name="Accent1 2" xfId="795" xr:uid="{00000000-0005-0000-0000-00000E030000}"/>
    <cellStyle name="Accent1 3" xfId="796" xr:uid="{00000000-0005-0000-0000-00000F030000}"/>
    <cellStyle name="Accent1 4" xfId="797" xr:uid="{00000000-0005-0000-0000-000010030000}"/>
    <cellStyle name="Accent1 5" xfId="798" xr:uid="{00000000-0005-0000-0000-000011030000}"/>
    <cellStyle name="Accent1 6" xfId="799" xr:uid="{00000000-0005-0000-0000-000012030000}"/>
    <cellStyle name="Accent1 7" xfId="800" xr:uid="{00000000-0005-0000-0000-000013030000}"/>
    <cellStyle name="Accent1 8" xfId="801" xr:uid="{00000000-0005-0000-0000-000014030000}"/>
    <cellStyle name="Accent1 9" xfId="802" xr:uid="{00000000-0005-0000-0000-000015030000}"/>
    <cellStyle name="Accent2 10" xfId="803" xr:uid="{00000000-0005-0000-0000-000016030000}"/>
    <cellStyle name="Accent2 11" xfId="804" xr:uid="{00000000-0005-0000-0000-000017030000}"/>
    <cellStyle name="Accent2 12" xfId="805" xr:uid="{00000000-0005-0000-0000-000018030000}"/>
    <cellStyle name="Accent2 13" xfId="806" xr:uid="{00000000-0005-0000-0000-000019030000}"/>
    <cellStyle name="Accent2 14" xfId="807" xr:uid="{00000000-0005-0000-0000-00001A030000}"/>
    <cellStyle name="Accent2 15" xfId="808" xr:uid="{00000000-0005-0000-0000-00001B030000}"/>
    <cellStyle name="Accent2 16" xfId="809" xr:uid="{00000000-0005-0000-0000-00001C030000}"/>
    <cellStyle name="Accent2 2" xfId="810" xr:uid="{00000000-0005-0000-0000-00001D030000}"/>
    <cellStyle name="Accent2 3" xfId="811" xr:uid="{00000000-0005-0000-0000-00001E030000}"/>
    <cellStyle name="Accent2 4" xfId="812" xr:uid="{00000000-0005-0000-0000-00001F030000}"/>
    <cellStyle name="Accent2 5" xfId="813" xr:uid="{00000000-0005-0000-0000-000020030000}"/>
    <cellStyle name="Accent2 6" xfId="814" xr:uid="{00000000-0005-0000-0000-000021030000}"/>
    <cellStyle name="Accent2 7" xfId="815" xr:uid="{00000000-0005-0000-0000-000022030000}"/>
    <cellStyle name="Accent2 8" xfId="816" xr:uid="{00000000-0005-0000-0000-000023030000}"/>
    <cellStyle name="Accent2 9" xfId="817" xr:uid="{00000000-0005-0000-0000-000024030000}"/>
    <cellStyle name="Accent3 10" xfId="818" xr:uid="{00000000-0005-0000-0000-000025030000}"/>
    <cellStyle name="Accent3 11" xfId="819" xr:uid="{00000000-0005-0000-0000-000026030000}"/>
    <cellStyle name="Accent3 12" xfId="820" xr:uid="{00000000-0005-0000-0000-000027030000}"/>
    <cellStyle name="Accent3 13" xfId="821" xr:uid="{00000000-0005-0000-0000-000028030000}"/>
    <cellStyle name="Accent3 14" xfId="822" xr:uid="{00000000-0005-0000-0000-000029030000}"/>
    <cellStyle name="Accent3 15" xfId="823" xr:uid="{00000000-0005-0000-0000-00002A030000}"/>
    <cellStyle name="Accent3 16" xfId="824" xr:uid="{00000000-0005-0000-0000-00002B030000}"/>
    <cellStyle name="Accent3 2" xfId="825" xr:uid="{00000000-0005-0000-0000-00002C030000}"/>
    <cellStyle name="Accent3 3" xfId="826" xr:uid="{00000000-0005-0000-0000-00002D030000}"/>
    <cellStyle name="Accent3 4" xfId="827" xr:uid="{00000000-0005-0000-0000-00002E030000}"/>
    <cellStyle name="Accent3 5" xfId="828" xr:uid="{00000000-0005-0000-0000-00002F030000}"/>
    <cellStyle name="Accent3 6" xfId="829" xr:uid="{00000000-0005-0000-0000-000030030000}"/>
    <cellStyle name="Accent3 7" xfId="830" xr:uid="{00000000-0005-0000-0000-000031030000}"/>
    <cellStyle name="Accent3 8" xfId="831" xr:uid="{00000000-0005-0000-0000-000032030000}"/>
    <cellStyle name="Accent3 9" xfId="832" xr:uid="{00000000-0005-0000-0000-000033030000}"/>
    <cellStyle name="Accent4 10" xfId="833" xr:uid="{00000000-0005-0000-0000-000034030000}"/>
    <cellStyle name="Accent4 11" xfId="834" xr:uid="{00000000-0005-0000-0000-000035030000}"/>
    <cellStyle name="Accent4 12" xfId="835" xr:uid="{00000000-0005-0000-0000-000036030000}"/>
    <cellStyle name="Accent4 13" xfId="836" xr:uid="{00000000-0005-0000-0000-000037030000}"/>
    <cellStyle name="Accent4 14" xfId="837" xr:uid="{00000000-0005-0000-0000-000038030000}"/>
    <cellStyle name="Accent4 15" xfId="838" xr:uid="{00000000-0005-0000-0000-000039030000}"/>
    <cellStyle name="Accent4 16" xfId="839" xr:uid="{00000000-0005-0000-0000-00003A030000}"/>
    <cellStyle name="Accent4 2" xfId="840" xr:uid="{00000000-0005-0000-0000-00003B030000}"/>
    <cellStyle name="Accent4 3" xfId="841" xr:uid="{00000000-0005-0000-0000-00003C030000}"/>
    <cellStyle name="Accent4 4" xfId="842" xr:uid="{00000000-0005-0000-0000-00003D030000}"/>
    <cellStyle name="Accent4 5" xfId="843" xr:uid="{00000000-0005-0000-0000-00003E030000}"/>
    <cellStyle name="Accent4 6" xfId="844" xr:uid="{00000000-0005-0000-0000-00003F030000}"/>
    <cellStyle name="Accent4 7" xfId="845" xr:uid="{00000000-0005-0000-0000-000040030000}"/>
    <cellStyle name="Accent4 8" xfId="846" xr:uid="{00000000-0005-0000-0000-000041030000}"/>
    <cellStyle name="Accent4 9" xfId="847" xr:uid="{00000000-0005-0000-0000-000042030000}"/>
    <cellStyle name="Accent5 10" xfId="848" xr:uid="{00000000-0005-0000-0000-000043030000}"/>
    <cellStyle name="Accent5 11" xfId="849" xr:uid="{00000000-0005-0000-0000-000044030000}"/>
    <cellStyle name="Accent5 12" xfId="850" xr:uid="{00000000-0005-0000-0000-000045030000}"/>
    <cellStyle name="Accent5 13" xfId="851" xr:uid="{00000000-0005-0000-0000-000046030000}"/>
    <cellStyle name="Accent5 14" xfId="852" xr:uid="{00000000-0005-0000-0000-000047030000}"/>
    <cellStyle name="Accent5 15" xfId="853" xr:uid="{00000000-0005-0000-0000-000048030000}"/>
    <cellStyle name="Accent5 16" xfId="854" xr:uid="{00000000-0005-0000-0000-000049030000}"/>
    <cellStyle name="Accent5 2" xfId="855" xr:uid="{00000000-0005-0000-0000-00004A030000}"/>
    <cellStyle name="Accent5 3" xfId="856" xr:uid="{00000000-0005-0000-0000-00004B030000}"/>
    <cellStyle name="Accent5 4" xfId="857" xr:uid="{00000000-0005-0000-0000-00004C030000}"/>
    <cellStyle name="Accent5 5" xfId="858" xr:uid="{00000000-0005-0000-0000-00004D030000}"/>
    <cellStyle name="Accent5 6" xfId="859" xr:uid="{00000000-0005-0000-0000-00004E030000}"/>
    <cellStyle name="Accent5 7" xfId="860" xr:uid="{00000000-0005-0000-0000-00004F030000}"/>
    <cellStyle name="Accent5 8" xfId="861" xr:uid="{00000000-0005-0000-0000-000050030000}"/>
    <cellStyle name="Accent5 9" xfId="862" xr:uid="{00000000-0005-0000-0000-000051030000}"/>
    <cellStyle name="Accent6 10" xfId="863" xr:uid="{00000000-0005-0000-0000-000052030000}"/>
    <cellStyle name="Accent6 11" xfId="864" xr:uid="{00000000-0005-0000-0000-000053030000}"/>
    <cellStyle name="Accent6 12" xfId="865" xr:uid="{00000000-0005-0000-0000-000054030000}"/>
    <cellStyle name="Accent6 13" xfId="866" xr:uid="{00000000-0005-0000-0000-000055030000}"/>
    <cellStyle name="Accent6 14" xfId="867" xr:uid="{00000000-0005-0000-0000-000056030000}"/>
    <cellStyle name="Accent6 15" xfId="868" xr:uid="{00000000-0005-0000-0000-000057030000}"/>
    <cellStyle name="Accent6 16" xfId="869" xr:uid="{00000000-0005-0000-0000-000058030000}"/>
    <cellStyle name="Accent6 2" xfId="870" xr:uid="{00000000-0005-0000-0000-000059030000}"/>
    <cellStyle name="Accent6 3" xfId="871" xr:uid="{00000000-0005-0000-0000-00005A030000}"/>
    <cellStyle name="Accent6 4" xfId="872" xr:uid="{00000000-0005-0000-0000-00005B030000}"/>
    <cellStyle name="Accent6 5" xfId="873" xr:uid="{00000000-0005-0000-0000-00005C030000}"/>
    <cellStyle name="Accent6 6" xfId="874" xr:uid="{00000000-0005-0000-0000-00005D030000}"/>
    <cellStyle name="Accent6 7" xfId="875" xr:uid="{00000000-0005-0000-0000-00005E030000}"/>
    <cellStyle name="Accent6 8" xfId="876" xr:uid="{00000000-0005-0000-0000-00005F030000}"/>
    <cellStyle name="Accent6 9" xfId="877" xr:uid="{00000000-0005-0000-0000-000060030000}"/>
    <cellStyle name="Bad 10" xfId="878" xr:uid="{00000000-0005-0000-0000-000061030000}"/>
    <cellStyle name="Bad 11" xfId="879" xr:uid="{00000000-0005-0000-0000-000062030000}"/>
    <cellStyle name="Bad 12" xfId="880" xr:uid="{00000000-0005-0000-0000-000063030000}"/>
    <cellStyle name="Bad 13" xfId="881" xr:uid="{00000000-0005-0000-0000-000064030000}"/>
    <cellStyle name="Bad 14" xfId="882" xr:uid="{00000000-0005-0000-0000-000065030000}"/>
    <cellStyle name="Bad 15" xfId="883" xr:uid="{00000000-0005-0000-0000-000066030000}"/>
    <cellStyle name="Bad 16" xfId="884" xr:uid="{00000000-0005-0000-0000-000067030000}"/>
    <cellStyle name="Bad 2" xfId="885" xr:uid="{00000000-0005-0000-0000-000068030000}"/>
    <cellStyle name="Bad 3" xfId="886" xr:uid="{00000000-0005-0000-0000-000069030000}"/>
    <cellStyle name="Bad 4" xfId="887" xr:uid="{00000000-0005-0000-0000-00006A030000}"/>
    <cellStyle name="Bad 5" xfId="888" xr:uid="{00000000-0005-0000-0000-00006B030000}"/>
    <cellStyle name="Bad 6" xfId="889" xr:uid="{00000000-0005-0000-0000-00006C030000}"/>
    <cellStyle name="Bad 7" xfId="890" xr:uid="{00000000-0005-0000-0000-00006D030000}"/>
    <cellStyle name="Bad 8" xfId="891" xr:uid="{00000000-0005-0000-0000-00006E030000}"/>
    <cellStyle name="Bad 9" xfId="892" xr:uid="{00000000-0005-0000-0000-00006F030000}"/>
    <cellStyle name="Calculation 10" xfId="893" xr:uid="{00000000-0005-0000-0000-000070030000}"/>
    <cellStyle name="Calculation 11" xfId="894" xr:uid="{00000000-0005-0000-0000-000071030000}"/>
    <cellStyle name="Calculation 12" xfId="895" xr:uid="{00000000-0005-0000-0000-000072030000}"/>
    <cellStyle name="Calculation 13" xfId="896" xr:uid="{00000000-0005-0000-0000-000073030000}"/>
    <cellStyle name="Calculation 14" xfId="897" xr:uid="{00000000-0005-0000-0000-000074030000}"/>
    <cellStyle name="Calculation 15" xfId="898" xr:uid="{00000000-0005-0000-0000-000075030000}"/>
    <cellStyle name="Calculation 16" xfId="899" xr:uid="{00000000-0005-0000-0000-000076030000}"/>
    <cellStyle name="Calculation 2" xfId="900" xr:uid="{00000000-0005-0000-0000-000077030000}"/>
    <cellStyle name="Calculation 3" xfId="901" xr:uid="{00000000-0005-0000-0000-000078030000}"/>
    <cellStyle name="Calculation 4" xfId="902" xr:uid="{00000000-0005-0000-0000-000079030000}"/>
    <cellStyle name="Calculation 5" xfId="903" xr:uid="{00000000-0005-0000-0000-00007A030000}"/>
    <cellStyle name="Calculation 6" xfId="904" xr:uid="{00000000-0005-0000-0000-00007B030000}"/>
    <cellStyle name="Calculation 7" xfId="905" xr:uid="{00000000-0005-0000-0000-00007C030000}"/>
    <cellStyle name="Calculation 8" xfId="906" xr:uid="{00000000-0005-0000-0000-00007D030000}"/>
    <cellStyle name="Calculation 9" xfId="907" xr:uid="{00000000-0005-0000-0000-00007E030000}"/>
    <cellStyle name="Check Cell 10" xfId="908" xr:uid="{00000000-0005-0000-0000-00007F030000}"/>
    <cellStyle name="Check Cell 11" xfId="909" xr:uid="{00000000-0005-0000-0000-000080030000}"/>
    <cellStyle name="Check Cell 12" xfId="910" xr:uid="{00000000-0005-0000-0000-000081030000}"/>
    <cellStyle name="Check Cell 13" xfId="911" xr:uid="{00000000-0005-0000-0000-000082030000}"/>
    <cellStyle name="Check Cell 14" xfId="912" xr:uid="{00000000-0005-0000-0000-000083030000}"/>
    <cellStyle name="Check Cell 15" xfId="913" xr:uid="{00000000-0005-0000-0000-000084030000}"/>
    <cellStyle name="Check Cell 16" xfId="914" xr:uid="{00000000-0005-0000-0000-000085030000}"/>
    <cellStyle name="Check Cell 2" xfId="915" xr:uid="{00000000-0005-0000-0000-000086030000}"/>
    <cellStyle name="Check Cell 3" xfId="916" xr:uid="{00000000-0005-0000-0000-000087030000}"/>
    <cellStyle name="Check Cell 4" xfId="917" xr:uid="{00000000-0005-0000-0000-000088030000}"/>
    <cellStyle name="Check Cell 5" xfId="918" xr:uid="{00000000-0005-0000-0000-000089030000}"/>
    <cellStyle name="Check Cell 6" xfId="919" xr:uid="{00000000-0005-0000-0000-00008A030000}"/>
    <cellStyle name="Check Cell 7" xfId="920" xr:uid="{00000000-0005-0000-0000-00008B030000}"/>
    <cellStyle name="Check Cell 8" xfId="921" xr:uid="{00000000-0005-0000-0000-00008C030000}"/>
    <cellStyle name="Check Cell 9" xfId="922" xr:uid="{00000000-0005-0000-0000-00008D030000}"/>
    <cellStyle name="Comma [0] 2" xfId="923" xr:uid="{00000000-0005-0000-0000-00008E030000}"/>
    <cellStyle name="Comma 2" xfId="924" xr:uid="{00000000-0005-0000-0000-00008F030000}"/>
    <cellStyle name="Comma 2 2" xfId="925" xr:uid="{00000000-0005-0000-0000-000090030000}"/>
    <cellStyle name="Comma 2 3" xfId="926" xr:uid="{00000000-0005-0000-0000-000091030000}"/>
    <cellStyle name="Comma 2 4" xfId="927" xr:uid="{00000000-0005-0000-0000-000092030000}"/>
    <cellStyle name="Comma 2 4 2" xfId="928" xr:uid="{00000000-0005-0000-0000-000093030000}"/>
    <cellStyle name="Comma 2 5" xfId="929" xr:uid="{00000000-0005-0000-0000-000094030000}"/>
    <cellStyle name="Comma 2 5 2" xfId="930" xr:uid="{00000000-0005-0000-0000-000095030000}"/>
    <cellStyle name="Comma 2 6" xfId="931" xr:uid="{00000000-0005-0000-0000-000096030000}"/>
    <cellStyle name="Comma 2 7" xfId="932" xr:uid="{00000000-0005-0000-0000-000097030000}"/>
    <cellStyle name="Comma 3" xfId="933" xr:uid="{00000000-0005-0000-0000-000098030000}"/>
    <cellStyle name="Comma 3 2" xfId="934" xr:uid="{00000000-0005-0000-0000-000099030000}"/>
    <cellStyle name="Comma 4" xfId="9" xr:uid="{00000000-0005-0000-0000-00009A030000}"/>
    <cellStyle name="Comma 4 2" xfId="936" xr:uid="{00000000-0005-0000-0000-00009B030000}"/>
    <cellStyle name="Comma 4 3" xfId="935" xr:uid="{00000000-0005-0000-0000-00009C030000}"/>
    <cellStyle name="Comma 5" xfId="1465" xr:uid="{00000000-0005-0000-0000-00009D030000}"/>
    <cellStyle name="Comma 6" xfId="1459" xr:uid="{00000000-0005-0000-0000-00009E030000}"/>
    <cellStyle name="Currency 2" xfId="1464" xr:uid="{00000000-0005-0000-0000-00009F030000}"/>
    <cellStyle name="Currency 3" xfId="1463" xr:uid="{00000000-0005-0000-0000-0000A0030000}"/>
    <cellStyle name="Currency 4" xfId="1460" xr:uid="{00000000-0005-0000-0000-0000A1030000}"/>
    <cellStyle name="Explanatory Text 10" xfId="937" xr:uid="{00000000-0005-0000-0000-0000A2030000}"/>
    <cellStyle name="Explanatory Text 11" xfId="938" xr:uid="{00000000-0005-0000-0000-0000A3030000}"/>
    <cellStyle name="Explanatory Text 12" xfId="939" xr:uid="{00000000-0005-0000-0000-0000A4030000}"/>
    <cellStyle name="Explanatory Text 13" xfId="940" xr:uid="{00000000-0005-0000-0000-0000A5030000}"/>
    <cellStyle name="Explanatory Text 14" xfId="941" xr:uid="{00000000-0005-0000-0000-0000A6030000}"/>
    <cellStyle name="Explanatory Text 15" xfId="942" xr:uid="{00000000-0005-0000-0000-0000A7030000}"/>
    <cellStyle name="Explanatory Text 16" xfId="943" xr:uid="{00000000-0005-0000-0000-0000A8030000}"/>
    <cellStyle name="Explanatory Text 2" xfId="944" xr:uid="{00000000-0005-0000-0000-0000A9030000}"/>
    <cellStyle name="Explanatory Text 3" xfId="945" xr:uid="{00000000-0005-0000-0000-0000AA030000}"/>
    <cellStyle name="Explanatory Text 4" xfId="946" xr:uid="{00000000-0005-0000-0000-0000AB030000}"/>
    <cellStyle name="Explanatory Text 5" xfId="947" xr:uid="{00000000-0005-0000-0000-0000AC030000}"/>
    <cellStyle name="Explanatory Text 6" xfId="948" xr:uid="{00000000-0005-0000-0000-0000AD030000}"/>
    <cellStyle name="Explanatory Text 7" xfId="949" xr:uid="{00000000-0005-0000-0000-0000AE030000}"/>
    <cellStyle name="Explanatory Text 8" xfId="950" xr:uid="{00000000-0005-0000-0000-0000AF030000}"/>
    <cellStyle name="Explanatory Text 9" xfId="951" xr:uid="{00000000-0005-0000-0000-0000B0030000}"/>
    <cellStyle name="Good 10" xfId="952" xr:uid="{00000000-0005-0000-0000-0000B1030000}"/>
    <cellStyle name="Good 11" xfId="953" xr:uid="{00000000-0005-0000-0000-0000B2030000}"/>
    <cellStyle name="Good 12" xfId="954" xr:uid="{00000000-0005-0000-0000-0000B3030000}"/>
    <cellStyle name="Good 13" xfId="955" xr:uid="{00000000-0005-0000-0000-0000B4030000}"/>
    <cellStyle name="Good 14" xfId="956" xr:uid="{00000000-0005-0000-0000-0000B5030000}"/>
    <cellStyle name="Good 15" xfId="957" xr:uid="{00000000-0005-0000-0000-0000B6030000}"/>
    <cellStyle name="Good 16" xfId="958" xr:uid="{00000000-0005-0000-0000-0000B7030000}"/>
    <cellStyle name="Good 2" xfId="959" xr:uid="{00000000-0005-0000-0000-0000B8030000}"/>
    <cellStyle name="Good 3" xfId="960" xr:uid="{00000000-0005-0000-0000-0000B9030000}"/>
    <cellStyle name="Good 4" xfId="961" xr:uid="{00000000-0005-0000-0000-0000BA030000}"/>
    <cellStyle name="Good 5" xfId="962" xr:uid="{00000000-0005-0000-0000-0000BB030000}"/>
    <cellStyle name="Good 6" xfId="963" xr:uid="{00000000-0005-0000-0000-0000BC030000}"/>
    <cellStyle name="Good 7" xfId="964" xr:uid="{00000000-0005-0000-0000-0000BD030000}"/>
    <cellStyle name="Good 8" xfId="965" xr:uid="{00000000-0005-0000-0000-0000BE030000}"/>
    <cellStyle name="Good 9" xfId="966" xr:uid="{00000000-0005-0000-0000-0000BF030000}"/>
    <cellStyle name="Heading 1 10" xfId="967" xr:uid="{00000000-0005-0000-0000-0000C0030000}"/>
    <cellStyle name="Heading 1 11" xfId="968" xr:uid="{00000000-0005-0000-0000-0000C1030000}"/>
    <cellStyle name="Heading 1 12" xfId="969" xr:uid="{00000000-0005-0000-0000-0000C2030000}"/>
    <cellStyle name="Heading 1 13" xfId="970" xr:uid="{00000000-0005-0000-0000-0000C3030000}"/>
    <cellStyle name="Heading 1 14" xfId="971" xr:uid="{00000000-0005-0000-0000-0000C4030000}"/>
    <cellStyle name="Heading 1 15" xfId="972" xr:uid="{00000000-0005-0000-0000-0000C5030000}"/>
    <cellStyle name="Heading 1 16" xfId="973" xr:uid="{00000000-0005-0000-0000-0000C6030000}"/>
    <cellStyle name="Heading 1 2" xfId="974" xr:uid="{00000000-0005-0000-0000-0000C7030000}"/>
    <cellStyle name="Heading 1 3" xfId="975" xr:uid="{00000000-0005-0000-0000-0000C8030000}"/>
    <cellStyle name="Heading 1 4" xfId="976" xr:uid="{00000000-0005-0000-0000-0000C9030000}"/>
    <cellStyle name="Heading 1 5" xfId="977" xr:uid="{00000000-0005-0000-0000-0000CA030000}"/>
    <cellStyle name="Heading 1 6" xfId="978" xr:uid="{00000000-0005-0000-0000-0000CB030000}"/>
    <cellStyle name="Heading 1 7" xfId="979" xr:uid="{00000000-0005-0000-0000-0000CC030000}"/>
    <cellStyle name="Heading 1 8" xfId="980" xr:uid="{00000000-0005-0000-0000-0000CD030000}"/>
    <cellStyle name="Heading 1 9" xfId="981" xr:uid="{00000000-0005-0000-0000-0000CE030000}"/>
    <cellStyle name="Heading 2 10" xfId="982" xr:uid="{00000000-0005-0000-0000-0000CF030000}"/>
    <cellStyle name="Heading 2 11" xfId="983" xr:uid="{00000000-0005-0000-0000-0000D0030000}"/>
    <cellStyle name="Heading 2 12" xfId="984" xr:uid="{00000000-0005-0000-0000-0000D1030000}"/>
    <cellStyle name="Heading 2 13" xfId="985" xr:uid="{00000000-0005-0000-0000-0000D2030000}"/>
    <cellStyle name="Heading 2 14" xfId="986" xr:uid="{00000000-0005-0000-0000-0000D3030000}"/>
    <cellStyle name="Heading 2 15" xfId="987" xr:uid="{00000000-0005-0000-0000-0000D4030000}"/>
    <cellStyle name="Heading 2 16" xfId="988" xr:uid="{00000000-0005-0000-0000-0000D5030000}"/>
    <cellStyle name="Heading 2 2" xfId="989" xr:uid="{00000000-0005-0000-0000-0000D6030000}"/>
    <cellStyle name="Heading 2 3" xfId="990" xr:uid="{00000000-0005-0000-0000-0000D7030000}"/>
    <cellStyle name="Heading 2 4" xfId="991" xr:uid="{00000000-0005-0000-0000-0000D8030000}"/>
    <cellStyle name="Heading 2 5" xfId="992" xr:uid="{00000000-0005-0000-0000-0000D9030000}"/>
    <cellStyle name="Heading 2 6" xfId="993" xr:uid="{00000000-0005-0000-0000-0000DA030000}"/>
    <cellStyle name="Heading 2 7" xfId="994" xr:uid="{00000000-0005-0000-0000-0000DB030000}"/>
    <cellStyle name="Heading 2 8" xfId="995" xr:uid="{00000000-0005-0000-0000-0000DC030000}"/>
    <cellStyle name="Heading 2 9" xfId="996" xr:uid="{00000000-0005-0000-0000-0000DD030000}"/>
    <cellStyle name="Heading 3 10" xfId="997" xr:uid="{00000000-0005-0000-0000-0000DE030000}"/>
    <cellStyle name="Heading 3 11" xfId="998" xr:uid="{00000000-0005-0000-0000-0000DF030000}"/>
    <cellStyle name="Heading 3 12" xfId="999" xr:uid="{00000000-0005-0000-0000-0000E0030000}"/>
    <cellStyle name="Heading 3 13" xfId="1000" xr:uid="{00000000-0005-0000-0000-0000E1030000}"/>
    <cellStyle name="Heading 3 14" xfId="1001" xr:uid="{00000000-0005-0000-0000-0000E2030000}"/>
    <cellStyle name="Heading 3 15" xfId="1002" xr:uid="{00000000-0005-0000-0000-0000E3030000}"/>
    <cellStyle name="Heading 3 16" xfId="1003" xr:uid="{00000000-0005-0000-0000-0000E4030000}"/>
    <cellStyle name="Heading 3 2" xfId="1004" xr:uid="{00000000-0005-0000-0000-0000E5030000}"/>
    <cellStyle name="Heading 3 3" xfId="1005" xr:uid="{00000000-0005-0000-0000-0000E6030000}"/>
    <cellStyle name="Heading 3 4" xfId="1006" xr:uid="{00000000-0005-0000-0000-0000E7030000}"/>
    <cellStyle name="Heading 3 5" xfId="1007" xr:uid="{00000000-0005-0000-0000-0000E8030000}"/>
    <cellStyle name="Heading 3 6" xfId="1008" xr:uid="{00000000-0005-0000-0000-0000E9030000}"/>
    <cellStyle name="Heading 3 7" xfId="1009" xr:uid="{00000000-0005-0000-0000-0000EA030000}"/>
    <cellStyle name="Heading 3 8" xfId="1010" xr:uid="{00000000-0005-0000-0000-0000EB030000}"/>
    <cellStyle name="Heading 3 9" xfId="1011" xr:uid="{00000000-0005-0000-0000-0000EC030000}"/>
    <cellStyle name="Heading 4 10" xfId="1012" xr:uid="{00000000-0005-0000-0000-0000ED030000}"/>
    <cellStyle name="Heading 4 11" xfId="1013" xr:uid="{00000000-0005-0000-0000-0000EE030000}"/>
    <cellStyle name="Heading 4 12" xfId="1014" xr:uid="{00000000-0005-0000-0000-0000EF030000}"/>
    <cellStyle name="Heading 4 13" xfId="1015" xr:uid="{00000000-0005-0000-0000-0000F0030000}"/>
    <cellStyle name="Heading 4 14" xfId="1016" xr:uid="{00000000-0005-0000-0000-0000F1030000}"/>
    <cellStyle name="Heading 4 15" xfId="1017" xr:uid="{00000000-0005-0000-0000-0000F2030000}"/>
    <cellStyle name="Heading 4 16" xfId="1018" xr:uid="{00000000-0005-0000-0000-0000F3030000}"/>
    <cellStyle name="Heading 4 2" xfId="1019" xr:uid="{00000000-0005-0000-0000-0000F4030000}"/>
    <cellStyle name="Heading 4 3" xfId="1020" xr:uid="{00000000-0005-0000-0000-0000F5030000}"/>
    <cellStyle name="Heading 4 4" xfId="1021" xr:uid="{00000000-0005-0000-0000-0000F6030000}"/>
    <cellStyle name="Heading 4 5" xfId="1022" xr:uid="{00000000-0005-0000-0000-0000F7030000}"/>
    <cellStyle name="Heading 4 6" xfId="1023" xr:uid="{00000000-0005-0000-0000-0000F8030000}"/>
    <cellStyle name="Heading 4 7" xfId="1024" xr:uid="{00000000-0005-0000-0000-0000F9030000}"/>
    <cellStyle name="Heading 4 8" xfId="1025" xr:uid="{00000000-0005-0000-0000-0000FA030000}"/>
    <cellStyle name="Heading 4 9" xfId="1026" xr:uid="{00000000-0005-0000-0000-0000FB030000}"/>
    <cellStyle name="Hyperlink 2" xfId="1027" xr:uid="{00000000-0005-0000-0000-0000FC030000}"/>
    <cellStyle name="Hyperlink 3" xfId="1028" xr:uid="{00000000-0005-0000-0000-0000FD030000}"/>
    <cellStyle name="Input 10" xfId="1029" xr:uid="{00000000-0005-0000-0000-0000FE030000}"/>
    <cellStyle name="Input 11" xfId="1030" xr:uid="{00000000-0005-0000-0000-0000FF030000}"/>
    <cellStyle name="Input 12" xfId="1031" xr:uid="{00000000-0005-0000-0000-000000040000}"/>
    <cellStyle name="Input 13" xfId="1032" xr:uid="{00000000-0005-0000-0000-000001040000}"/>
    <cellStyle name="Input 14" xfId="1033" xr:uid="{00000000-0005-0000-0000-000002040000}"/>
    <cellStyle name="Input 15" xfId="1034" xr:uid="{00000000-0005-0000-0000-000003040000}"/>
    <cellStyle name="Input 16" xfId="1035" xr:uid="{00000000-0005-0000-0000-000004040000}"/>
    <cellStyle name="Input 2" xfId="1036" xr:uid="{00000000-0005-0000-0000-000005040000}"/>
    <cellStyle name="Input 3" xfId="1037" xr:uid="{00000000-0005-0000-0000-000006040000}"/>
    <cellStyle name="Input 4" xfId="1038" xr:uid="{00000000-0005-0000-0000-000007040000}"/>
    <cellStyle name="Input 5" xfId="1039" xr:uid="{00000000-0005-0000-0000-000008040000}"/>
    <cellStyle name="Input 6" xfId="1040" xr:uid="{00000000-0005-0000-0000-000009040000}"/>
    <cellStyle name="Input 7" xfId="1041" xr:uid="{00000000-0005-0000-0000-00000A040000}"/>
    <cellStyle name="Input 8" xfId="1042" xr:uid="{00000000-0005-0000-0000-00000B040000}"/>
    <cellStyle name="Input 9" xfId="1043" xr:uid="{00000000-0005-0000-0000-00000C040000}"/>
    <cellStyle name="Linked Cell 10" xfId="1044" xr:uid="{00000000-0005-0000-0000-00000D040000}"/>
    <cellStyle name="Linked Cell 11" xfId="1045" xr:uid="{00000000-0005-0000-0000-00000E040000}"/>
    <cellStyle name="Linked Cell 12" xfId="1046" xr:uid="{00000000-0005-0000-0000-00000F040000}"/>
    <cellStyle name="Linked Cell 13" xfId="1047" xr:uid="{00000000-0005-0000-0000-000010040000}"/>
    <cellStyle name="Linked Cell 14" xfId="1048" xr:uid="{00000000-0005-0000-0000-000011040000}"/>
    <cellStyle name="Linked Cell 15" xfId="1049" xr:uid="{00000000-0005-0000-0000-000012040000}"/>
    <cellStyle name="Linked Cell 16" xfId="1050" xr:uid="{00000000-0005-0000-0000-000013040000}"/>
    <cellStyle name="Linked Cell 2" xfId="1051" xr:uid="{00000000-0005-0000-0000-000014040000}"/>
    <cellStyle name="Linked Cell 3" xfId="1052" xr:uid="{00000000-0005-0000-0000-000015040000}"/>
    <cellStyle name="Linked Cell 4" xfId="1053" xr:uid="{00000000-0005-0000-0000-000016040000}"/>
    <cellStyle name="Linked Cell 5" xfId="1054" xr:uid="{00000000-0005-0000-0000-000017040000}"/>
    <cellStyle name="Linked Cell 6" xfId="1055" xr:uid="{00000000-0005-0000-0000-000018040000}"/>
    <cellStyle name="Linked Cell 7" xfId="1056" xr:uid="{00000000-0005-0000-0000-000019040000}"/>
    <cellStyle name="Linked Cell 8" xfId="1057" xr:uid="{00000000-0005-0000-0000-00001A040000}"/>
    <cellStyle name="Linked Cell 9" xfId="1058" xr:uid="{00000000-0005-0000-0000-00001B040000}"/>
    <cellStyle name="Neutral 10" xfId="1059" xr:uid="{00000000-0005-0000-0000-00001C040000}"/>
    <cellStyle name="Neutral 11" xfId="1060" xr:uid="{00000000-0005-0000-0000-00001D040000}"/>
    <cellStyle name="Neutral 12" xfId="1061" xr:uid="{00000000-0005-0000-0000-00001E040000}"/>
    <cellStyle name="Neutral 13" xfId="1062" xr:uid="{00000000-0005-0000-0000-00001F040000}"/>
    <cellStyle name="Neutral 14" xfId="1063" xr:uid="{00000000-0005-0000-0000-000020040000}"/>
    <cellStyle name="Neutral 15" xfId="1064" xr:uid="{00000000-0005-0000-0000-000021040000}"/>
    <cellStyle name="Neutral 16" xfId="1065" xr:uid="{00000000-0005-0000-0000-000022040000}"/>
    <cellStyle name="Neutral 2" xfId="1066" xr:uid="{00000000-0005-0000-0000-000023040000}"/>
    <cellStyle name="Neutral 3" xfId="1067" xr:uid="{00000000-0005-0000-0000-000024040000}"/>
    <cellStyle name="Neutral 4" xfId="1068" xr:uid="{00000000-0005-0000-0000-000025040000}"/>
    <cellStyle name="Neutral 5" xfId="1069" xr:uid="{00000000-0005-0000-0000-000026040000}"/>
    <cellStyle name="Neutral 6" xfId="1070" xr:uid="{00000000-0005-0000-0000-000027040000}"/>
    <cellStyle name="Neutral 7" xfId="1071" xr:uid="{00000000-0005-0000-0000-000028040000}"/>
    <cellStyle name="Neutral 8" xfId="1072" xr:uid="{00000000-0005-0000-0000-000029040000}"/>
    <cellStyle name="Neutral 9" xfId="1073" xr:uid="{00000000-0005-0000-0000-00002A040000}"/>
    <cellStyle name="Normal 10" xfId="1074" xr:uid="{00000000-0005-0000-0000-00002B040000}"/>
    <cellStyle name="Normal 10 2" xfId="1" xr:uid="{00000000-0005-0000-0000-00002C040000}"/>
    <cellStyle name="Normal 10 2 2" xfId="1075" xr:uid="{00000000-0005-0000-0000-00002D040000}"/>
    <cellStyle name="Normal 10 3" xfId="1076" xr:uid="{00000000-0005-0000-0000-00002E040000}"/>
    <cellStyle name="Normal 10 4" xfId="1077" xr:uid="{00000000-0005-0000-0000-00002F040000}"/>
    <cellStyle name="Normal 10 5" xfId="1078" xr:uid="{00000000-0005-0000-0000-000030040000}"/>
    <cellStyle name="Normal 10 5 2" xfId="1079" xr:uid="{00000000-0005-0000-0000-000031040000}"/>
    <cellStyle name="Normal 10 5 2 2" xfId="1080" xr:uid="{00000000-0005-0000-0000-000032040000}"/>
    <cellStyle name="Normal 10 5 3" xfId="1081" xr:uid="{00000000-0005-0000-0000-000033040000}"/>
    <cellStyle name="Normal 10 6" xfId="1082" xr:uid="{00000000-0005-0000-0000-000034040000}"/>
    <cellStyle name="Normal 10 6 2" xfId="1083" xr:uid="{00000000-0005-0000-0000-000035040000}"/>
    <cellStyle name="Normal 10 7" xfId="1084" xr:uid="{00000000-0005-0000-0000-000036040000}"/>
    <cellStyle name="Normal 11" xfId="1085" xr:uid="{00000000-0005-0000-0000-000037040000}"/>
    <cellStyle name="Normal 12" xfId="1086" xr:uid="{00000000-0005-0000-0000-000038040000}"/>
    <cellStyle name="Normal 12 2" xfId="1087" xr:uid="{00000000-0005-0000-0000-000039040000}"/>
    <cellStyle name="Normal 12 2 2" xfId="1088" xr:uid="{00000000-0005-0000-0000-00003A040000}"/>
    <cellStyle name="Normal 13" xfId="2" xr:uid="{00000000-0005-0000-0000-00003B040000}"/>
    <cellStyle name="Normal 14" xfId="1089" xr:uid="{00000000-0005-0000-0000-00003C040000}"/>
    <cellStyle name="Normal 14 2" xfId="1090" xr:uid="{00000000-0005-0000-0000-00003D040000}"/>
    <cellStyle name="Normal 15" xfId="1091" xr:uid="{00000000-0005-0000-0000-00003E040000}"/>
    <cellStyle name="Normal 16" xfId="1092" xr:uid="{00000000-0005-0000-0000-00003F040000}"/>
    <cellStyle name="Normal 17" xfId="1093" xr:uid="{00000000-0005-0000-0000-000040040000}"/>
    <cellStyle name="Normal 18" xfId="1094" xr:uid="{00000000-0005-0000-0000-000041040000}"/>
    <cellStyle name="Normal 19" xfId="1095" xr:uid="{00000000-0005-0000-0000-000042040000}"/>
    <cellStyle name="Normal 2" xfId="1096" xr:uid="{00000000-0005-0000-0000-000043040000}"/>
    <cellStyle name="Normal 2 10" xfId="4" xr:uid="{00000000-0005-0000-0000-000044040000}"/>
    <cellStyle name="Normal 2 10 2" xfId="1098" xr:uid="{00000000-0005-0000-0000-000045040000}"/>
    <cellStyle name="Normal 2 10 3" xfId="1099" xr:uid="{00000000-0005-0000-0000-000046040000}"/>
    <cellStyle name="Normal 2 10 4" xfId="1100" xr:uid="{00000000-0005-0000-0000-000047040000}"/>
    <cellStyle name="Normal 2 10 5" xfId="1097" xr:uid="{00000000-0005-0000-0000-000048040000}"/>
    <cellStyle name="Normal 2 10 9" xfId="3" xr:uid="{00000000-0005-0000-0000-000049040000}"/>
    <cellStyle name="Normal 2 10 9 2" xfId="1102" xr:uid="{00000000-0005-0000-0000-00004A040000}"/>
    <cellStyle name="Normal 2 10 9 3" xfId="1101" xr:uid="{00000000-0005-0000-0000-00004B040000}"/>
    <cellStyle name="Normal 2 11" xfId="1103" xr:uid="{00000000-0005-0000-0000-00004C040000}"/>
    <cellStyle name="Normal 2 11 2" xfId="1104" xr:uid="{00000000-0005-0000-0000-00004D040000}"/>
    <cellStyle name="Normal 2 12" xfId="1105" xr:uid="{00000000-0005-0000-0000-00004E040000}"/>
    <cellStyle name="Normal 2 13" xfId="1106" xr:uid="{00000000-0005-0000-0000-00004F040000}"/>
    <cellStyle name="Normal 2 13 10" xfId="1107" xr:uid="{00000000-0005-0000-0000-000050040000}"/>
    <cellStyle name="Normal 2 13 11" xfId="1108" xr:uid="{00000000-0005-0000-0000-000051040000}"/>
    <cellStyle name="Normal 2 13 12" xfId="1109" xr:uid="{00000000-0005-0000-0000-000052040000}"/>
    <cellStyle name="Normal 2 13 13" xfId="1110" xr:uid="{00000000-0005-0000-0000-000053040000}"/>
    <cellStyle name="Normal 2 13 2" xfId="1111" xr:uid="{00000000-0005-0000-0000-000054040000}"/>
    <cellStyle name="Normal 2 13 2 10" xfId="1112" xr:uid="{00000000-0005-0000-0000-000055040000}"/>
    <cellStyle name="Normal 2 13 2 11" xfId="1113" xr:uid="{00000000-0005-0000-0000-000056040000}"/>
    <cellStyle name="Normal 2 13 2 12" xfId="1114" xr:uid="{00000000-0005-0000-0000-000057040000}"/>
    <cellStyle name="Normal 2 13 2 13" xfId="1115" xr:uid="{00000000-0005-0000-0000-000058040000}"/>
    <cellStyle name="Normal 2 13 2 2" xfId="1116" xr:uid="{00000000-0005-0000-0000-000059040000}"/>
    <cellStyle name="Normal 2 13 2 3" xfId="1117" xr:uid="{00000000-0005-0000-0000-00005A040000}"/>
    <cellStyle name="Normal 2 13 2 4" xfId="1118" xr:uid="{00000000-0005-0000-0000-00005B040000}"/>
    <cellStyle name="Normal 2 13 2 5" xfId="1119" xr:uid="{00000000-0005-0000-0000-00005C040000}"/>
    <cellStyle name="Normal 2 13 2 6" xfId="1120" xr:uid="{00000000-0005-0000-0000-00005D040000}"/>
    <cellStyle name="Normal 2 13 2 7" xfId="1121" xr:uid="{00000000-0005-0000-0000-00005E040000}"/>
    <cellStyle name="Normal 2 13 2 8" xfId="1122" xr:uid="{00000000-0005-0000-0000-00005F040000}"/>
    <cellStyle name="Normal 2 13 2 9" xfId="1123" xr:uid="{00000000-0005-0000-0000-000060040000}"/>
    <cellStyle name="Normal 2 13 3" xfId="1124" xr:uid="{00000000-0005-0000-0000-000061040000}"/>
    <cellStyle name="Normal 2 13 4" xfId="1125" xr:uid="{00000000-0005-0000-0000-000062040000}"/>
    <cellStyle name="Normal 2 13 5" xfId="1126" xr:uid="{00000000-0005-0000-0000-000063040000}"/>
    <cellStyle name="Normal 2 13 6" xfId="1127" xr:uid="{00000000-0005-0000-0000-000064040000}"/>
    <cellStyle name="Normal 2 13 7" xfId="1128" xr:uid="{00000000-0005-0000-0000-000065040000}"/>
    <cellStyle name="Normal 2 13 8" xfId="1129" xr:uid="{00000000-0005-0000-0000-000066040000}"/>
    <cellStyle name="Normal 2 13 9" xfId="1130" xr:uid="{00000000-0005-0000-0000-000067040000}"/>
    <cellStyle name="Normal 2 14" xfId="1131" xr:uid="{00000000-0005-0000-0000-000068040000}"/>
    <cellStyle name="Normal 2 15" xfId="1132" xr:uid="{00000000-0005-0000-0000-000069040000}"/>
    <cellStyle name="Normal 2 16" xfId="1133" xr:uid="{00000000-0005-0000-0000-00006A040000}"/>
    <cellStyle name="Normal 2 17" xfId="1134" xr:uid="{00000000-0005-0000-0000-00006B040000}"/>
    <cellStyle name="Normal 2 18" xfId="1135" xr:uid="{00000000-0005-0000-0000-00006C040000}"/>
    <cellStyle name="Normal 2 19" xfId="1136" xr:uid="{00000000-0005-0000-0000-00006D040000}"/>
    <cellStyle name="Normal 2 2" xfId="1137" xr:uid="{00000000-0005-0000-0000-00006E040000}"/>
    <cellStyle name="Normal 2 2 10" xfId="1138" xr:uid="{00000000-0005-0000-0000-00006F040000}"/>
    <cellStyle name="Normal 2 2 10 2" xfId="1139" xr:uid="{00000000-0005-0000-0000-000070040000}"/>
    <cellStyle name="Normal 2 2 11" xfId="1140" xr:uid="{00000000-0005-0000-0000-000071040000}"/>
    <cellStyle name="Normal 2 2 11 2" xfId="1141" xr:uid="{00000000-0005-0000-0000-000072040000}"/>
    <cellStyle name="Normal 2 2 12" xfId="1142" xr:uid="{00000000-0005-0000-0000-000073040000}"/>
    <cellStyle name="Normal 2 2 12 2" xfId="1143" xr:uid="{00000000-0005-0000-0000-000074040000}"/>
    <cellStyle name="Normal 2 2 13" xfId="1144" xr:uid="{00000000-0005-0000-0000-000075040000}"/>
    <cellStyle name="Normal 2 2 13 2" xfId="1145" xr:uid="{00000000-0005-0000-0000-000076040000}"/>
    <cellStyle name="Normal 2 2 14" xfId="1146" xr:uid="{00000000-0005-0000-0000-000077040000}"/>
    <cellStyle name="Normal 2 2 14 2" xfId="1147" xr:uid="{00000000-0005-0000-0000-000078040000}"/>
    <cellStyle name="Normal 2 2 15" xfId="1148" xr:uid="{00000000-0005-0000-0000-000079040000}"/>
    <cellStyle name="Normal 2 2 15 2" xfId="1149" xr:uid="{00000000-0005-0000-0000-00007A040000}"/>
    <cellStyle name="Normal 2 2 16" xfId="1150" xr:uid="{00000000-0005-0000-0000-00007B040000}"/>
    <cellStyle name="Normal 2 2 16 2" xfId="1151" xr:uid="{00000000-0005-0000-0000-00007C040000}"/>
    <cellStyle name="Normal 2 2 17" xfId="1152" xr:uid="{00000000-0005-0000-0000-00007D040000}"/>
    <cellStyle name="Normal 2 2 17 2" xfId="1153" xr:uid="{00000000-0005-0000-0000-00007E040000}"/>
    <cellStyle name="Normal 2 2 18" xfId="1154" xr:uid="{00000000-0005-0000-0000-00007F040000}"/>
    <cellStyle name="Normal 2 2 18 2" xfId="1155" xr:uid="{00000000-0005-0000-0000-000080040000}"/>
    <cellStyle name="Normal 2 2 19" xfId="1156" xr:uid="{00000000-0005-0000-0000-000081040000}"/>
    <cellStyle name="Normal 2 2 19 2" xfId="1157" xr:uid="{00000000-0005-0000-0000-000082040000}"/>
    <cellStyle name="Normal 2 2 2" xfId="1158" xr:uid="{00000000-0005-0000-0000-000083040000}"/>
    <cellStyle name="Normal 2 2 2 2" xfId="1159" xr:uid="{00000000-0005-0000-0000-000084040000}"/>
    <cellStyle name="Normal 2 2 20" xfId="1160" xr:uid="{00000000-0005-0000-0000-000085040000}"/>
    <cellStyle name="Normal 2 2 21" xfId="1161" xr:uid="{00000000-0005-0000-0000-000086040000}"/>
    <cellStyle name="Normal 2 2 22" xfId="1162" xr:uid="{00000000-0005-0000-0000-000087040000}"/>
    <cellStyle name="Normal 2 2 3" xfId="6" xr:uid="{00000000-0005-0000-0000-000088040000}"/>
    <cellStyle name="Normal 2 2 4" xfId="1163" xr:uid="{00000000-0005-0000-0000-000089040000}"/>
    <cellStyle name="Normal 2 2 4 10" xfId="1164" xr:uid="{00000000-0005-0000-0000-00008A040000}"/>
    <cellStyle name="Normal 2 2 4 11" xfId="1165" xr:uid="{00000000-0005-0000-0000-00008B040000}"/>
    <cellStyle name="Normal 2 2 4 12" xfId="1166" xr:uid="{00000000-0005-0000-0000-00008C040000}"/>
    <cellStyle name="Normal 2 2 4 13" xfId="1167" xr:uid="{00000000-0005-0000-0000-00008D040000}"/>
    <cellStyle name="Normal 2 2 4 14" xfId="1168" xr:uid="{00000000-0005-0000-0000-00008E040000}"/>
    <cellStyle name="Normal 2 2 4 2" xfId="1169" xr:uid="{00000000-0005-0000-0000-00008F040000}"/>
    <cellStyle name="Normal 2 2 4 2 10" xfId="1170" xr:uid="{00000000-0005-0000-0000-000090040000}"/>
    <cellStyle name="Normal 2 2 4 2 10 2" xfId="1171" xr:uid="{00000000-0005-0000-0000-000091040000}"/>
    <cellStyle name="Normal 2 2 4 2 11" xfId="1172" xr:uid="{00000000-0005-0000-0000-000092040000}"/>
    <cellStyle name="Normal 2 2 4 2 11 2" xfId="1173" xr:uid="{00000000-0005-0000-0000-000093040000}"/>
    <cellStyle name="Normal 2 2 4 2 12" xfId="1174" xr:uid="{00000000-0005-0000-0000-000094040000}"/>
    <cellStyle name="Normal 2 2 4 2 12 2" xfId="1175" xr:uid="{00000000-0005-0000-0000-000095040000}"/>
    <cellStyle name="Normal 2 2 4 2 13" xfId="1176" xr:uid="{00000000-0005-0000-0000-000096040000}"/>
    <cellStyle name="Normal 2 2 4 2 13 2" xfId="1177" xr:uid="{00000000-0005-0000-0000-000097040000}"/>
    <cellStyle name="Normal 2 2 4 2 2" xfId="1178" xr:uid="{00000000-0005-0000-0000-000098040000}"/>
    <cellStyle name="Normal 2 2 4 2 2 2" xfId="1179" xr:uid="{00000000-0005-0000-0000-000099040000}"/>
    <cellStyle name="Normal 2 2 4 2 3" xfId="1180" xr:uid="{00000000-0005-0000-0000-00009A040000}"/>
    <cellStyle name="Normal 2 2 4 2 3 2" xfId="1181" xr:uid="{00000000-0005-0000-0000-00009B040000}"/>
    <cellStyle name="Normal 2 2 4 2 4" xfId="1182" xr:uid="{00000000-0005-0000-0000-00009C040000}"/>
    <cellStyle name="Normal 2 2 4 2 4 2" xfId="1183" xr:uid="{00000000-0005-0000-0000-00009D040000}"/>
    <cellStyle name="Normal 2 2 4 2 5" xfId="1184" xr:uid="{00000000-0005-0000-0000-00009E040000}"/>
    <cellStyle name="Normal 2 2 4 2 5 2" xfId="1185" xr:uid="{00000000-0005-0000-0000-00009F040000}"/>
    <cellStyle name="Normal 2 2 4 2 6" xfId="1186" xr:uid="{00000000-0005-0000-0000-0000A0040000}"/>
    <cellStyle name="Normal 2 2 4 2 6 2" xfId="1187" xr:uid="{00000000-0005-0000-0000-0000A1040000}"/>
    <cellStyle name="Normal 2 2 4 2 7" xfId="1188" xr:uid="{00000000-0005-0000-0000-0000A2040000}"/>
    <cellStyle name="Normal 2 2 4 2 7 2" xfId="1189" xr:uid="{00000000-0005-0000-0000-0000A3040000}"/>
    <cellStyle name="Normal 2 2 4 2 8" xfId="1190" xr:uid="{00000000-0005-0000-0000-0000A4040000}"/>
    <cellStyle name="Normal 2 2 4 2 8 2" xfId="1191" xr:uid="{00000000-0005-0000-0000-0000A5040000}"/>
    <cellStyle name="Normal 2 2 4 2 9" xfId="1192" xr:uid="{00000000-0005-0000-0000-0000A6040000}"/>
    <cellStyle name="Normal 2 2 4 2 9 2" xfId="1193" xr:uid="{00000000-0005-0000-0000-0000A7040000}"/>
    <cellStyle name="Normal 2 2 4 3" xfId="1194" xr:uid="{00000000-0005-0000-0000-0000A8040000}"/>
    <cellStyle name="Normal 2 2 4 4" xfId="1195" xr:uid="{00000000-0005-0000-0000-0000A9040000}"/>
    <cellStyle name="Normal 2 2 4 5" xfId="1196" xr:uid="{00000000-0005-0000-0000-0000AA040000}"/>
    <cellStyle name="Normal 2 2 4 6" xfId="1197" xr:uid="{00000000-0005-0000-0000-0000AB040000}"/>
    <cellStyle name="Normal 2 2 4 7" xfId="1198" xr:uid="{00000000-0005-0000-0000-0000AC040000}"/>
    <cellStyle name="Normal 2 2 4 8" xfId="1199" xr:uid="{00000000-0005-0000-0000-0000AD040000}"/>
    <cellStyle name="Normal 2 2 4 9" xfId="1200" xr:uid="{00000000-0005-0000-0000-0000AE040000}"/>
    <cellStyle name="Normal 2 2 5" xfId="1201" xr:uid="{00000000-0005-0000-0000-0000AF040000}"/>
    <cellStyle name="Normal 2 2 5 2" xfId="1202" xr:uid="{00000000-0005-0000-0000-0000B0040000}"/>
    <cellStyle name="Normal 2 2 6" xfId="1203" xr:uid="{00000000-0005-0000-0000-0000B1040000}"/>
    <cellStyle name="Normal 2 2 6 2" xfId="1204" xr:uid="{00000000-0005-0000-0000-0000B2040000}"/>
    <cellStyle name="Normal 2 2 7" xfId="1205" xr:uid="{00000000-0005-0000-0000-0000B3040000}"/>
    <cellStyle name="Normal 2 2 7 2" xfId="1206" xr:uid="{00000000-0005-0000-0000-0000B4040000}"/>
    <cellStyle name="Normal 2 2 8" xfId="1207" xr:uid="{00000000-0005-0000-0000-0000B5040000}"/>
    <cellStyle name="Normal 2 2 8 2" xfId="1208" xr:uid="{00000000-0005-0000-0000-0000B6040000}"/>
    <cellStyle name="Normal 2 2 8 2 2" xfId="1209" xr:uid="{00000000-0005-0000-0000-0000B7040000}"/>
    <cellStyle name="Normal 2 2 8 3" xfId="1210" xr:uid="{00000000-0005-0000-0000-0000B8040000}"/>
    <cellStyle name="Normal 2 2 9" xfId="1211" xr:uid="{00000000-0005-0000-0000-0000B9040000}"/>
    <cellStyle name="Normal 2 2 9 2" xfId="1212" xr:uid="{00000000-0005-0000-0000-0000BA040000}"/>
    <cellStyle name="Normal 2 20" xfId="1213" xr:uid="{00000000-0005-0000-0000-0000BB040000}"/>
    <cellStyle name="Normal 2 21" xfId="1214" xr:uid="{00000000-0005-0000-0000-0000BC040000}"/>
    <cellStyle name="Normal 2 22" xfId="1215" xr:uid="{00000000-0005-0000-0000-0000BD040000}"/>
    <cellStyle name="Normal 2 23" xfId="1216" xr:uid="{00000000-0005-0000-0000-0000BE040000}"/>
    <cellStyle name="Normal 2 24" xfId="1217" xr:uid="{00000000-0005-0000-0000-0000BF040000}"/>
    <cellStyle name="Normal 2 25" xfId="1218" xr:uid="{00000000-0005-0000-0000-0000C0040000}"/>
    <cellStyle name="Normal 2 26" xfId="1219" xr:uid="{00000000-0005-0000-0000-0000C1040000}"/>
    <cellStyle name="Normal 2 27" xfId="1220" xr:uid="{00000000-0005-0000-0000-0000C2040000}"/>
    <cellStyle name="Normal 2 28" xfId="1221" xr:uid="{00000000-0005-0000-0000-0000C3040000}"/>
    <cellStyle name="Normal 2 3" xfId="1222" xr:uid="{00000000-0005-0000-0000-0000C4040000}"/>
    <cellStyle name="Normal 2 3 2" xfId="1223" xr:uid="{00000000-0005-0000-0000-0000C5040000}"/>
    <cellStyle name="Normal 2 4" xfId="10" xr:uid="{00000000-0005-0000-0000-0000C6040000}"/>
    <cellStyle name="Normal 2 5" xfId="1224" xr:uid="{00000000-0005-0000-0000-0000C7040000}"/>
    <cellStyle name="Normal 2 6" xfId="1225" xr:uid="{00000000-0005-0000-0000-0000C8040000}"/>
    <cellStyle name="Normal 2 7" xfId="1226" xr:uid="{00000000-0005-0000-0000-0000C9040000}"/>
    <cellStyle name="Normal 2 7 2" xfId="1227" xr:uid="{00000000-0005-0000-0000-0000CA040000}"/>
    <cellStyle name="Normal 2 8" xfId="1228" xr:uid="{00000000-0005-0000-0000-0000CB040000}"/>
    <cellStyle name="Normal 2 8 2" xfId="1229" xr:uid="{00000000-0005-0000-0000-0000CC040000}"/>
    <cellStyle name="Normal 2 9" xfId="1230" xr:uid="{00000000-0005-0000-0000-0000CD040000}"/>
    <cellStyle name="Normal 2 9 2" xfId="1231" xr:uid="{00000000-0005-0000-0000-0000CE040000}"/>
    <cellStyle name="Normal 2_2210_2220_2230_2240_2250_2260" xfId="1232" xr:uid="{00000000-0005-0000-0000-0000CF040000}"/>
    <cellStyle name="Normal 20" xfId="1233" xr:uid="{00000000-0005-0000-0000-0000D0040000}"/>
    <cellStyle name="Normal 21" xfId="1234" xr:uid="{00000000-0005-0000-0000-0000D1040000}"/>
    <cellStyle name="Normal 22" xfId="1235" xr:uid="{00000000-0005-0000-0000-0000D2040000}"/>
    <cellStyle name="Normal 23" xfId="1236" xr:uid="{00000000-0005-0000-0000-0000D3040000}"/>
    <cellStyle name="Normal 24" xfId="1237" xr:uid="{00000000-0005-0000-0000-0000D4040000}"/>
    <cellStyle name="Normal 25" xfId="1238" xr:uid="{00000000-0005-0000-0000-0000D5040000}"/>
    <cellStyle name="Normal 26" xfId="8" xr:uid="{00000000-0005-0000-0000-0000D6040000}"/>
    <cellStyle name="Normal 26 2" xfId="1240" xr:uid="{00000000-0005-0000-0000-0000D7040000}"/>
    <cellStyle name="Normal 26 3" xfId="1241" xr:uid="{00000000-0005-0000-0000-0000D8040000}"/>
    <cellStyle name="Normal 26 4" xfId="1239" xr:uid="{00000000-0005-0000-0000-0000D9040000}"/>
    <cellStyle name="Normal 27" xfId="11" xr:uid="{00000000-0005-0000-0000-0000DA040000}"/>
    <cellStyle name="Normal 28" xfId="1242" xr:uid="{00000000-0005-0000-0000-0000DB040000}"/>
    <cellStyle name="Normal 29" xfId="1243" xr:uid="{00000000-0005-0000-0000-0000DC040000}"/>
    <cellStyle name="Normal 29 2" xfId="1244" xr:uid="{00000000-0005-0000-0000-0000DD040000}"/>
    <cellStyle name="Normal 3" xfId="1245" xr:uid="{00000000-0005-0000-0000-0000DE040000}"/>
    <cellStyle name="Normal 3 10" xfId="1246" xr:uid="{00000000-0005-0000-0000-0000DF040000}"/>
    <cellStyle name="Normal 3 10 2" xfId="1247" xr:uid="{00000000-0005-0000-0000-0000E0040000}"/>
    <cellStyle name="Normal 3 11" xfId="1248" xr:uid="{00000000-0005-0000-0000-0000E1040000}"/>
    <cellStyle name="Normal 3 12" xfId="1249" xr:uid="{00000000-0005-0000-0000-0000E2040000}"/>
    <cellStyle name="Normal 3 13" xfId="1250" xr:uid="{00000000-0005-0000-0000-0000E3040000}"/>
    <cellStyle name="Normal 3 14" xfId="1251" xr:uid="{00000000-0005-0000-0000-0000E4040000}"/>
    <cellStyle name="Normal 3 15" xfId="1252" xr:uid="{00000000-0005-0000-0000-0000E5040000}"/>
    <cellStyle name="Normal 3 16" xfId="1253" xr:uid="{00000000-0005-0000-0000-0000E6040000}"/>
    <cellStyle name="Normal 3 17" xfId="1254" xr:uid="{00000000-0005-0000-0000-0000E7040000}"/>
    <cellStyle name="Normal 3 18" xfId="1255" xr:uid="{00000000-0005-0000-0000-0000E8040000}"/>
    <cellStyle name="Normal 3 19" xfId="1256" xr:uid="{00000000-0005-0000-0000-0000E9040000}"/>
    <cellStyle name="Normal 3 2" xfId="1257" xr:uid="{00000000-0005-0000-0000-0000EA040000}"/>
    <cellStyle name="Normal 3 2 2" xfId="1258" xr:uid="{00000000-0005-0000-0000-0000EB040000}"/>
    <cellStyle name="Normal 3 20" xfId="1259" xr:uid="{00000000-0005-0000-0000-0000EC040000}"/>
    <cellStyle name="Normal 3 21" xfId="1260" xr:uid="{00000000-0005-0000-0000-0000ED040000}"/>
    <cellStyle name="Normal 3 22" xfId="1261" xr:uid="{00000000-0005-0000-0000-0000EE040000}"/>
    <cellStyle name="Normal 3 23" xfId="1262" xr:uid="{00000000-0005-0000-0000-0000EF040000}"/>
    <cellStyle name="Normal 3 24" xfId="1462" xr:uid="{00000000-0005-0000-0000-0000F0040000}"/>
    <cellStyle name="Normal 3 3" xfId="1263" xr:uid="{00000000-0005-0000-0000-0000F1040000}"/>
    <cellStyle name="Normal 3 3 2" xfId="1264" xr:uid="{00000000-0005-0000-0000-0000F2040000}"/>
    <cellStyle name="Normal 3 4" xfId="1265" xr:uid="{00000000-0005-0000-0000-0000F3040000}"/>
    <cellStyle name="Normal 3 4 2" xfId="1266" xr:uid="{00000000-0005-0000-0000-0000F4040000}"/>
    <cellStyle name="Normal 3 5" xfId="1267" xr:uid="{00000000-0005-0000-0000-0000F5040000}"/>
    <cellStyle name="Normal 3 6" xfId="1268" xr:uid="{00000000-0005-0000-0000-0000F6040000}"/>
    <cellStyle name="Normal 3 6 2" xfId="1269" xr:uid="{00000000-0005-0000-0000-0000F7040000}"/>
    <cellStyle name="Normal 3 7" xfId="1270" xr:uid="{00000000-0005-0000-0000-0000F8040000}"/>
    <cellStyle name="Normal 3 7 2" xfId="1271" xr:uid="{00000000-0005-0000-0000-0000F9040000}"/>
    <cellStyle name="Normal 3 8" xfId="1272" xr:uid="{00000000-0005-0000-0000-0000FA040000}"/>
    <cellStyle name="Normal 3 8 2" xfId="1273" xr:uid="{00000000-0005-0000-0000-0000FB040000}"/>
    <cellStyle name="Normal 3 9" xfId="1274" xr:uid="{00000000-0005-0000-0000-0000FC040000}"/>
    <cellStyle name="Normal 3 9 2" xfId="1275" xr:uid="{00000000-0005-0000-0000-0000FD040000}"/>
    <cellStyle name="Normal 3_2210_2220_2230_2240_2250_2260" xfId="1276" xr:uid="{00000000-0005-0000-0000-0000FE040000}"/>
    <cellStyle name="Normal 30" xfId="1277" xr:uid="{00000000-0005-0000-0000-0000FF040000}"/>
    <cellStyle name="Normal 30 2" xfId="1278" xr:uid="{00000000-0005-0000-0000-000000050000}"/>
    <cellStyle name="Normal 31" xfId="1279" xr:uid="{00000000-0005-0000-0000-000001050000}"/>
    <cellStyle name="Normal 31 2" xfId="1280" xr:uid="{00000000-0005-0000-0000-000002050000}"/>
    <cellStyle name="Normal 32" xfId="1281" xr:uid="{00000000-0005-0000-0000-000003050000}"/>
    <cellStyle name="Normal 32 2" xfId="1282" xr:uid="{00000000-0005-0000-0000-000004050000}"/>
    <cellStyle name="Normal 32 2 2" xfId="1283" xr:uid="{00000000-0005-0000-0000-000005050000}"/>
    <cellStyle name="Normal 32 3" xfId="1284" xr:uid="{00000000-0005-0000-0000-000006050000}"/>
    <cellStyle name="Normal 32 3 2" xfId="1285" xr:uid="{00000000-0005-0000-0000-000007050000}"/>
    <cellStyle name="Normal 32 4" xfId="1286" xr:uid="{00000000-0005-0000-0000-000008050000}"/>
    <cellStyle name="Normal 32 4 2" xfId="1287" xr:uid="{00000000-0005-0000-0000-000009050000}"/>
    <cellStyle name="Normal 32 5" xfId="1288" xr:uid="{00000000-0005-0000-0000-00000A050000}"/>
    <cellStyle name="Normal 33" xfId="1289" xr:uid="{00000000-0005-0000-0000-00000B050000}"/>
    <cellStyle name="Normal 33 2" xfId="1290" xr:uid="{00000000-0005-0000-0000-00000C050000}"/>
    <cellStyle name="Normal 34" xfId="1291" xr:uid="{00000000-0005-0000-0000-00000D050000}"/>
    <cellStyle name="Normal 34 2" xfId="1292" xr:uid="{00000000-0005-0000-0000-00000E050000}"/>
    <cellStyle name="Normal 35" xfId="1293" xr:uid="{00000000-0005-0000-0000-00000F050000}"/>
    <cellStyle name="Normal 35 2" xfId="1294" xr:uid="{00000000-0005-0000-0000-000010050000}"/>
    <cellStyle name="Normal 36" xfId="1295" xr:uid="{00000000-0005-0000-0000-000011050000}"/>
    <cellStyle name="Normal 36 2" xfId="1296" xr:uid="{00000000-0005-0000-0000-000012050000}"/>
    <cellStyle name="Normal 37" xfId="1297" xr:uid="{00000000-0005-0000-0000-000013050000}"/>
    <cellStyle name="Normal 37 2" xfId="1298" xr:uid="{00000000-0005-0000-0000-000014050000}"/>
    <cellStyle name="Normal 38" xfId="1299" xr:uid="{00000000-0005-0000-0000-000015050000}"/>
    <cellStyle name="Normal 39" xfId="1461" xr:uid="{00000000-0005-0000-0000-000016050000}"/>
    <cellStyle name="Normal 4" xfId="1300" xr:uid="{00000000-0005-0000-0000-000017050000}"/>
    <cellStyle name="Normal 4 10" xfId="1301" xr:uid="{00000000-0005-0000-0000-000018050000}"/>
    <cellStyle name="Normal 4 11" xfId="1302" xr:uid="{00000000-0005-0000-0000-000019050000}"/>
    <cellStyle name="Normal 4 12" xfId="1303" xr:uid="{00000000-0005-0000-0000-00001A050000}"/>
    <cellStyle name="Normal 4 13" xfId="1304" xr:uid="{00000000-0005-0000-0000-00001B050000}"/>
    <cellStyle name="Normal 4 14" xfId="1305" xr:uid="{00000000-0005-0000-0000-00001C050000}"/>
    <cellStyle name="Normal 4 15" xfId="1306" xr:uid="{00000000-0005-0000-0000-00001D050000}"/>
    <cellStyle name="Normal 4 16" xfId="1307" xr:uid="{00000000-0005-0000-0000-00001E050000}"/>
    <cellStyle name="Normal 4 17" xfId="1308" xr:uid="{00000000-0005-0000-0000-00001F050000}"/>
    <cellStyle name="Normal 4 2" xfId="1309" xr:uid="{00000000-0005-0000-0000-000020050000}"/>
    <cellStyle name="Normal 4 2 2" xfId="1310" xr:uid="{00000000-0005-0000-0000-000021050000}"/>
    <cellStyle name="Normal 4 2 2 2" xfId="1311" xr:uid="{00000000-0005-0000-0000-000022050000}"/>
    <cellStyle name="Normal 4 2 3" xfId="1312" xr:uid="{00000000-0005-0000-0000-000023050000}"/>
    <cellStyle name="Normal 4 3" xfId="1313" xr:uid="{00000000-0005-0000-0000-000024050000}"/>
    <cellStyle name="Normal 4 3 2" xfId="1314" xr:uid="{00000000-0005-0000-0000-000025050000}"/>
    <cellStyle name="Normal 4 4" xfId="1315" xr:uid="{00000000-0005-0000-0000-000026050000}"/>
    <cellStyle name="Normal 4 4 2" xfId="1316" xr:uid="{00000000-0005-0000-0000-000027050000}"/>
    <cellStyle name="Normal 4 5" xfId="1317" xr:uid="{00000000-0005-0000-0000-000028050000}"/>
    <cellStyle name="Normal 4 6" xfId="1318" xr:uid="{00000000-0005-0000-0000-000029050000}"/>
    <cellStyle name="Normal 4 7" xfId="1319" xr:uid="{00000000-0005-0000-0000-00002A050000}"/>
    <cellStyle name="Normal 4 8" xfId="1320" xr:uid="{00000000-0005-0000-0000-00002B050000}"/>
    <cellStyle name="Normal 4 9" xfId="1321" xr:uid="{00000000-0005-0000-0000-00002C050000}"/>
    <cellStyle name="Normal 4_2210_2220_2230_2240_2250_2260" xfId="1322" xr:uid="{00000000-0005-0000-0000-00002D050000}"/>
    <cellStyle name="Normal 40" xfId="1466" xr:uid="{00000000-0005-0000-0000-00002E050000}"/>
    <cellStyle name="Normal 45" xfId="1323" xr:uid="{00000000-0005-0000-0000-00002F050000}"/>
    <cellStyle name="Normal 45 2" xfId="1324" xr:uid="{00000000-0005-0000-0000-000030050000}"/>
    <cellStyle name="Normal 45 2 2" xfId="1325" xr:uid="{00000000-0005-0000-0000-000031050000}"/>
    <cellStyle name="Normal 45 3" xfId="1326" xr:uid="{00000000-0005-0000-0000-000032050000}"/>
    <cellStyle name="Normal 45 3 2" xfId="1327" xr:uid="{00000000-0005-0000-0000-000033050000}"/>
    <cellStyle name="Normal 45 4" xfId="1328" xr:uid="{00000000-0005-0000-0000-000034050000}"/>
    <cellStyle name="Normal 45 4 2" xfId="1329" xr:uid="{00000000-0005-0000-0000-000035050000}"/>
    <cellStyle name="Normal 45 5" xfId="1330" xr:uid="{00000000-0005-0000-0000-000036050000}"/>
    <cellStyle name="Normal 5" xfId="1331" xr:uid="{00000000-0005-0000-0000-000037050000}"/>
    <cellStyle name="Normal 5 2" xfId="1332" xr:uid="{00000000-0005-0000-0000-000038050000}"/>
    <cellStyle name="Normal 5 3" xfId="1333" xr:uid="{00000000-0005-0000-0000-000039050000}"/>
    <cellStyle name="Normal 50" xfId="1334" xr:uid="{00000000-0005-0000-0000-00003A050000}"/>
    <cellStyle name="Normal 50 2" xfId="1335" xr:uid="{00000000-0005-0000-0000-00003B050000}"/>
    <cellStyle name="Normal 50 2 2" xfId="1336" xr:uid="{00000000-0005-0000-0000-00003C050000}"/>
    <cellStyle name="Normal 50 3" xfId="1337" xr:uid="{00000000-0005-0000-0000-00003D050000}"/>
    <cellStyle name="Normal 50 3 2" xfId="1338" xr:uid="{00000000-0005-0000-0000-00003E050000}"/>
    <cellStyle name="Normal 50 4" xfId="1339" xr:uid="{00000000-0005-0000-0000-00003F050000}"/>
    <cellStyle name="Normal 51" xfId="1340" xr:uid="{00000000-0005-0000-0000-000040050000}"/>
    <cellStyle name="Normal 51 2" xfId="1341" xr:uid="{00000000-0005-0000-0000-000041050000}"/>
    <cellStyle name="Normal 51 2 2" xfId="1342" xr:uid="{00000000-0005-0000-0000-000042050000}"/>
    <cellStyle name="Normal 51 3" xfId="1343" xr:uid="{00000000-0005-0000-0000-000043050000}"/>
    <cellStyle name="Normal 51 3 2" xfId="1344" xr:uid="{00000000-0005-0000-0000-000044050000}"/>
    <cellStyle name="Normal 51 4" xfId="1345" xr:uid="{00000000-0005-0000-0000-000045050000}"/>
    <cellStyle name="Normal 6" xfId="1346" xr:uid="{00000000-0005-0000-0000-000046050000}"/>
    <cellStyle name="Normal 6 2" xfId="1347" xr:uid="{00000000-0005-0000-0000-000047050000}"/>
    <cellStyle name="Normal 6 2 2" xfId="1348" xr:uid="{00000000-0005-0000-0000-000048050000}"/>
    <cellStyle name="Normal 6 3" xfId="1349" xr:uid="{00000000-0005-0000-0000-000049050000}"/>
    <cellStyle name="Normal 6 4" xfId="1350" xr:uid="{00000000-0005-0000-0000-00004A050000}"/>
    <cellStyle name="Normal 6 4 2" xfId="7" xr:uid="{00000000-0005-0000-0000-00004B050000}"/>
    <cellStyle name="Normal 6 4 2 2" xfId="1352" xr:uid="{00000000-0005-0000-0000-00004C050000}"/>
    <cellStyle name="Normal 6 4 2 2 2" xfId="1353" xr:uid="{00000000-0005-0000-0000-00004D050000}"/>
    <cellStyle name="Normal 6 4 2 3" xfId="1354" xr:uid="{00000000-0005-0000-0000-00004E050000}"/>
    <cellStyle name="Normal 6 4 2 4" xfId="1355" xr:uid="{00000000-0005-0000-0000-00004F050000}"/>
    <cellStyle name="Normal 6 4 2 5" xfId="1351" xr:uid="{00000000-0005-0000-0000-000050050000}"/>
    <cellStyle name="Normal 6 4 3" xfId="1356" xr:uid="{00000000-0005-0000-0000-000051050000}"/>
    <cellStyle name="Normal 60 2" xfId="1357" xr:uid="{00000000-0005-0000-0000-000052050000}"/>
    <cellStyle name="Normal 60 2 2" xfId="1358" xr:uid="{00000000-0005-0000-0000-000053050000}"/>
    <cellStyle name="Normal 7" xfId="1359" xr:uid="{00000000-0005-0000-0000-000054050000}"/>
    <cellStyle name="Normal 70" xfId="1360" xr:uid="{00000000-0005-0000-0000-000055050000}"/>
    <cellStyle name="Normal 8" xfId="1361" xr:uid="{00000000-0005-0000-0000-000056050000}"/>
    <cellStyle name="Normal 8 2" xfId="5" xr:uid="{00000000-0005-0000-0000-000057050000}"/>
    <cellStyle name="Normal 9" xfId="1362" xr:uid="{00000000-0005-0000-0000-000058050000}"/>
    <cellStyle name="Normal_Sheet3" xfId="1467" xr:uid="{00000000-0005-0000-0000-000059050000}"/>
    <cellStyle name="Note 10" xfId="1363" xr:uid="{00000000-0005-0000-0000-00005A050000}"/>
    <cellStyle name="Note 11" xfId="1364" xr:uid="{00000000-0005-0000-0000-00005B050000}"/>
    <cellStyle name="Note 12" xfId="1365" xr:uid="{00000000-0005-0000-0000-00005C050000}"/>
    <cellStyle name="Note 13" xfId="1366" xr:uid="{00000000-0005-0000-0000-00005D050000}"/>
    <cellStyle name="Note 14" xfId="1367" xr:uid="{00000000-0005-0000-0000-00005E050000}"/>
    <cellStyle name="Note 15" xfId="1368" xr:uid="{00000000-0005-0000-0000-00005F050000}"/>
    <cellStyle name="Note 16" xfId="1369" xr:uid="{00000000-0005-0000-0000-000060050000}"/>
    <cellStyle name="Note 2" xfId="1370" xr:uid="{00000000-0005-0000-0000-000061050000}"/>
    <cellStyle name="Note 3" xfId="1371" xr:uid="{00000000-0005-0000-0000-000062050000}"/>
    <cellStyle name="Note 4" xfId="1372" xr:uid="{00000000-0005-0000-0000-000063050000}"/>
    <cellStyle name="Note 5" xfId="1373" xr:uid="{00000000-0005-0000-0000-000064050000}"/>
    <cellStyle name="Note 6" xfId="1374" xr:uid="{00000000-0005-0000-0000-000065050000}"/>
    <cellStyle name="Note 7" xfId="1375" xr:uid="{00000000-0005-0000-0000-000066050000}"/>
    <cellStyle name="Note 8" xfId="1376" xr:uid="{00000000-0005-0000-0000-000067050000}"/>
    <cellStyle name="Note 9" xfId="1377" xr:uid="{00000000-0005-0000-0000-000068050000}"/>
    <cellStyle name="Output 10" xfId="1378" xr:uid="{00000000-0005-0000-0000-000069050000}"/>
    <cellStyle name="Output 11" xfId="1379" xr:uid="{00000000-0005-0000-0000-00006A050000}"/>
    <cellStyle name="Output 12" xfId="1380" xr:uid="{00000000-0005-0000-0000-00006B050000}"/>
    <cellStyle name="Output 13" xfId="1381" xr:uid="{00000000-0005-0000-0000-00006C050000}"/>
    <cellStyle name="Output 14" xfId="1382" xr:uid="{00000000-0005-0000-0000-00006D050000}"/>
    <cellStyle name="Output 15" xfId="1383" xr:uid="{00000000-0005-0000-0000-00006E050000}"/>
    <cellStyle name="Output 16" xfId="1384" xr:uid="{00000000-0005-0000-0000-00006F050000}"/>
    <cellStyle name="Output 2" xfId="1385" xr:uid="{00000000-0005-0000-0000-000070050000}"/>
    <cellStyle name="Output 3" xfId="1386" xr:uid="{00000000-0005-0000-0000-000071050000}"/>
    <cellStyle name="Output 4" xfId="1387" xr:uid="{00000000-0005-0000-0000-000072050000}"/>
    <cellStyle name="Output 5" xfId="1388" xr:uid="{00000000-0005-0000-0000-000073050000}"/>
    <cellStyle name="Output 6" xfId="1389" xr:uid="{00000000-0005-0000-0000-000074050000}"/>
    <cellStyle name="Output 7" xfId="1390" xr:uid="{00000000-0005-0000-0000-000075050000}"/>
    <cellStyle name="Output 8" xfId="1391" xr:uid="{00000000-0005-0000-0000-000076050000}"/>
    <cellStyle name="Output 9" xfId="1392" xr:uid="{00000000-0005-0000-0000-000077050000}"/>
    <cellStyle name="Parasts" xfId="0" builtinId="0"/>
    <cellStyle name="Percent 2" xfId="1393" xr:uid="{00000000-0005-0000-0000-000078050000}"/>
    <cellStyle name="Percent 2 2" xfId="1394" xr:uid="{00000000-0005-0000-0000-000079050000}"/>
    <cellStyle name="Percent 3" xfId="1395" xr:uid="{00000000-0005-0000-0000-00007A050000}"/>
    <cellStyle name="Percent 4" xfId="1396" xr:uid="{00000000-0005-0000-0000-00007B050000}"/>
    <cellStyle name="Percent 5" xfId="1397" xr:uid="{00000000-0005-0000-0000-00007C050000}"/>
    <cellStyle name="Percent 6" xfId="1398" xr:uid="{00000000-0005-0000-0000-00007D050000}"/>
    <cellStyle name="Percent 6 2" xfId="1399" xr:uid="{00000000-0005-0000-0000-00007E050000}"/>
    <cellStyle name="Procenti" xfId="12" builtinId="5"/>
    <cellStyle name="Title 10" xfId="1400" xr:uid="{00000000-0005-0000-0000-00007F050000}"/>
    <cellStyle name="Title 11" xfId="1401" xr:uid="{00000000-0005-0000-0000-000080050000}"/>
    <cellStyle name="Title 12" xfId="1402" xr:uid="{00000000-0005-0000-0000-000081050000}"/>
    <cellStyle name="Title 13" xfId="1403" xr:uid="{00000000-0005-0000-0000-000082050000}"/>
    <cellStyle name="Title 14" xfId="1404" xr:uid="{00000000-0005-0000-0000-000083050000}"/>
    <cellStyle name="Title 15" xfId="1405" xr:uid="{00000000-0005-0000-0000-000084050000}"/>
    <cellStyle name="Title 16" xfId="1406" xr:uid="{00000000-0005-0000-0000-000085050000}"/>
    <cellStyle name="Title 2" xfId="1407" xr:uid="{00000000-0005-0000-0000-000086050000}"/>
    <cellStyle name="Title 3" xfId="1408" xr:uid="{00000000-0005-0000-0000-000087050000}"/>
    <cellStyle name="Title 4" xfId="1409" xr:uid="{00000000-0005-0000-0000-000088050000}"/>
    <cellStyle name="Title 5" xfId="1410" xr:uid="{00000000-0005-0000-0000-000089050000}"/>
    <cellStyle name="Title 6" xfId="1411" xr:uid="{00000000-0005-0000-0000-00008A050000}"/>
    <cellStyle name="Title 7" xfId="1412" xr:uid="{00000000-0005-0000-0000-00008B050000}"/>
    <cellStyle name="Title 8" xfId="1413" xr:uid="{00000000-0005-0000-0000-00008C050000}"/>
    <cellStyle name="Title 9" xfId="1414" xr:uid="{00000000-0005-0000-0000-00008D050000}"/>
    <cellStyle name="Total 10" xfId="1415" xr:uid="{00000000-0005-0000-0000-00008E050000}"/>
    <cellStyle name="Total 10 2" xfId="1416" xr:uid="{00000000-0005-0000-0000-00008F050000}"/>
    <cellStyle name="Total 11" xfId="1417" xr:uid="{00000000-0005-0000-0000-000090050000}"/>
    <cellStyle name="Total 11 2" xfId="1418" xr:uid="{00000000-0005-0000-0000-000091050000}"/>
    <cellStyle name="Total 12" xfId="1419" xr:uid="{00000000-0005-0000-0000-000092050000}"/>
    <cellStyle name="Total 12 2" xfId="1420" xr:uid="{00000000-0005-0000-0000-000093050000}"/>
    <cellStyle name="Total 13" xfId="1421" xr:uid="{00000000-0005-0000-0000-000094050000}"/>
    <cellStyle name="Total 13 2" xfId="1422" xr:uid="{00000000-0005-0000-0000-000095050000}"/>
    <cellStyle name="Total 14" xfId="1423" xr:uid="{00000000-0005-0000-0000-000096050000}"/>
    <cellStyle name="Total 14 2" xfId="1424" xr:uid="{00000000-0005-0000-0000-000097050000}"/>
    <cellStyle name="Total 15" xfId="1425" xr:uid="{00000000-0005-0000-0000-000098050000}"/>
    <cellStyle name="Total 15 2" xfId="1426" xr:uid="{00000000-0005-0000-0000-000099050000}"/>
    <cellStyle name="Total 16" xfId="1427" xr:uid="{00000000-0005-0000-0000-00009A050000}"/>
    <cellStyle name="Total 2" xfId="1428" xr:uid="{00000000-0005-0000-0000-00009B050000}"/>
    <cellStyle name="Total 2 2" xfId="1429" xr:uid="{00000000-0005-0000-0000-00009C050000}"/>
    <cellStyle name="Total 3" xfId="1430" xr:uid="{00000000-0005-0000-0000-00009D050000}"/>
    <cellStyle name="Total 3 2" xfId="1431" xr:uid="{00000000-0005-0000-0000-00009E050000}"/>
    <cellStyle name="Total 4" xfId="1432" xr:uid="{00000000-0005-0000-0000-00009F050000}"/>
    <cellStyle name="Total 4 2" xfId="1433" xr:uid="{00000000-0005-0000-0000-0000A0050000}"/>
    <cellStyle name="Total 5" xfId="1434" xr:uid="{00000000-0005-0000-0000-0000A1050000}"/>
    <cellStyle name="Total 5 2" xfId="1435" xr:uid="{00000000-0005-0000-0000-0000A2050000}"/>
    <cellStyle name="Total 6" xfId="1436" xr:uid="{00000000-0005-0000-0000-0000A3050000}"/>
    <cellStyle name="Total 6 2" xfId="1437" xr:uid="{00000000-0005-0000-0000-0000A4050000}"/>
    <cellStyle name="Total 7" xfId="1438" xr:uid="{00000000-0005-0000-0000-0000A5050000}"/>
    <cellStyle name="Total 7 2" xfId="1439" xr:uid="{00000000-0005-0000-0000-0000A6050000}"/>
    <cellStyle name="Total 8" xfId="1440" xr:uid="{00000000-0005-0000-0000-0000A7050000}"/>
    <cellStyle name="Total 8 2" xfId="1441" xr:uid="{00000000-0005-0000-0000-0000A8050000}"/>
    <cellStyle name="Total 9" xfId="1442" xr:uid="{00000000-0005-0000-0000-0000A9050000}"/>
    <cellStyle name="Total 9 2" xfId="1443" xr:uid="{00000000-0005-0000-0000-0000AA050000}"/>
    <cellStyle name="Warning Text 10" xfId="1444" xr:uid="{00000000-0005-0000-0000-0000AB050000}"/>
    <cellStyle name="Warning Text 11" xfId="1445" xr:uid="{00000000-0005-0000-0000-0000AC050000}"/>
    <cellStyle name="Warning Text 12" xfId="1446" xr:uid="{00000000-0005-0000-0000-0000AD050000}"/>
    <cellStyle name="Warning Text 13" xfId="1447" xr:uid="{00000000-0005-0000-0000-0000AE050000}"/>
    <cellStyle name="Warning Text 14" xfId="1448" xr:uid="{00000000-0005-0000-0000-0000AF050000}"/>
    <cellStyle name="Warning Text 15" xfId="1449" xr:uid="{00000000-0005-0000-0000-0000B0050000}"/>
    <cellStyle name="Warning Text 16" xfId="1450" xr:uid="{00000000-0005-0000-0000-0000B1050000}"/>
    <cellStyle name="Warning Text 2" xfId="1451" xr:uid="{00000000-0005-0000-0000-0000B2050000}"/>
    <cellStyle name="Warning Text 3" xfId="1452" xr:uid="{00000000-0005-0000-0000-0000B3050000}"/>
    <cellStyle name="Warning Text 4" xfId="1453" xr:uid="{00000000-0005-0000-0000-0000B4050000}"/>
    <cellStyle name="Warning Text 5" xfId="1454" xr:uid="{00000000-0005-0000-0000-0000B5050000}"/>
    <cellStyle name="Warning Text 6" xfId="1455" xr:uid="{00000000-0005-0000-0000-0000B6050000}"/>
    <cellStyle name="Warning Text 7" xfId="1456" xr:uid="{00000000-0005-0000-0000-0000B7050000}"/>
    <cellStyle name="Warning Text 8" xfId="1457" xr:uid="{00000000-0005-0000-0000-0000B8050000}"/>
    <cellStyle name="Warning Text 9" xfId="1458" xr:uid="{00000000-0005-0000-0000-0000B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vm.gov.lv/Documents%20and%20Settings/SilvijaJ/Local%20Settings/Temporary%20Internet%20Files/Content.IE5/F51GHD5U/KristineS/My%20Documents/Bud&#382;ets%202012/Budzeta%20forma%2014_05%2001%202012%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_pamatlidzekli"/>
      <sheetName val="pec str._PL"/>
      <sheetName val="pēc izm.p. PL"/>
      <sheetName val="pamatlidzekli"/>
      <sheetName val="CITO PL"/>
      <sheetName val="pamatlidzekli (2)"/>
      <sheetName val="PT_mazv.inv."/>
      <sheetName val="pēc izm.p. MI"/>
      <sheetName val="pec str_MI"/>
      <sheetName val="mazv.inventars"/>
      <sheetName val="CITO MI"/>
      <sheetName val="mazv.inventars (2)"/>
      <sheetName val="pakalpojums"/>
      <sheetName val="strukturkodi"/>
      <sheetName val="izm.posteni"/>
      <sheetName val="pec_str__PL"/>
      <sheetName val="pec_str__PL1"/>
      <sheetName val="pēc_izm_p__PL"/>
      <sheetName val="CITO_PL"/>
      <sheetName val="pamatlidzekli_(2)"/>
      <sheetName val="PT_mazv_inv_"/>
      <sheetName val="pēc_izm_p__MI"/>
      <sheetName val="pec_str_MI"/>
      <sheetName val="mazv_inventars"/>
      <sheetName val="CITO_MI"/>
      <sheetName val="mazv_inventars_(2)"/>
      <sheetName val="izm_poste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X180"/>
  <sheetViews>
    <sheetView tabSelected="1" view="pageBreakPreview" topLeftCell="A5" zoomScaleNormal="10" zoomScaleSheetLayoutView="100" workbookViewId="0">
      <pane xSplit="1" topLeftCell="B1" activePane="topRight" state="frozen"/>
      <selection pane="topRight" activeCell="D13" activeCellId="1" sqref="D5 D13"/>
    </sheetView>
  </sheetViews>
  <sheetFormatPr defaultColWidth="9.140625" defaultRowHeight="46.5" customHeight="1" outlineLevelCol="1" x14ac:dyDescent="0.2"/>
  <cols>
    <col min="1" max="1" width="9.140625" style="1" customWidth="1"/>
    <col min="2" max="2" width="27" style="1" customWidth="1"/>
    <col min="3" max="3" width="12" style="1" customWidth="1"/>
    <col min="4" max="4" width="12.28515625" style="4" customWidth="1"/>
    <col min="5" max="5" width="11.5703125" style="4" customWidth="1"/>
    <col min="6" max="6" width="12" style="4" customWidth="1" outlineLevel="1"/>
    <col min="7" max="7" width="13.85546875" style="4" customWidth="1" outlineLevel="1"/>
    <col min="8" max="8" width="14.85546875" style="4" customWidth="1" outlineLevel="1"/>
    <col min="9" max="9" width="78.140625" style="4" customWidth="1" outlineLevel="1"/>
    <col min="10" max="10" width="14.42578125" style="4" customWidth="1"/>
    <col min="11" max="11" width="20.5703125" style="4" customWidth="1" outlineLevel="1"/>
    <col min="12" max="13" width="24.42578125" style="4" customWidth="1" outlineLevel="1"/>
    <col min="14" max="14" width="78.140625" style="4" customWidth="1" outlineLevel="1"/>
    <col min="15" max="15" width="19.85546875" style="4" customWidth="1"/>
    <col min="16" max="16" width="19.85546875" style="4" customWidth="1" outlineLevel="1"/>
    <col min="17" max="18" width="24.42578125" style="4" customWidth="1" outlineLevel="1"/>
    <col min="19" max="19" width="78.140625" style="4" customWidth="1" outlineLevel="1"/>
    <col min="20" max="20" width="14.140625" style="4" customWidth="1"/>
    <col min="21" max="21" width="16.140625" style="4" customWidth="1" outlineLevel="1"/>
    <col min="22" max="22" width="20.28515625" style="4" customWidth="1" outlineLevel="1"/>
    <col min="23" max="23" width="9.140625" style="4" customWidth="1" outlineLevel="1"/>
    <col min="24" max="24" width="78.28515625" style="4" customWidth="1" outlineLevel="1"/>
    <col min="25" max="25" width="9.140625" style="1" customWidth="1"/>
    <col min="26" max="16384" width="9.140625" style="1"/>
  </cols>
  <sheetData>
    <row r="1" spans="1:24" ht="88.5" customHeight="1" x14ac:dyDescent="0.2">
      <c r="A1" s="33" t="s">
        <v>0</v>
      </c>
      <c r="B1" s="24" t="s">
        <v>1</v>
      </c>
      <c r="C1" s="24" t="s">
        <v>2</v>
      </c>
      <c r="D1" s="24" t="s">
        <v>3</v>
      </c>
      <c r="E1" s="24" t="s">
        <v>4</v>
      </c>
      <c r="F1" s="24" t="s">
        <v>5</v>
      </c>
      <c r="G1" s="25" t="s">
        <v>6</v>
      </c>
      <c r="H1" s="26" t="s">
        <v>7</v>
      </c>
      <c r="I1" s="24" t="s">
        <v>8</v>
      </c>
      <c r="J1" s="24" t="s">
        <v>9</v>
      </c>
      <c r="K1" s="24" t="s">
        <v>10</v>
      </c>
      <c r="L1" s="25" t="s">
        <v>6</v>
      </c>
      <c r="M1" s="26" t="s">
        <v>7</v>
      </c>
      <c r="N1" s="24" t="s">
        <v>8</v>
      </c>
      <c r="O1" s="24" t="s">
        <v>11</v>
      </c>
      <c r="P1" s="24" t="s">
        <v>12</v>
      </c>
      <c r="Q1" s="25" t="s">
        <v>6</v>
      </c>
      <c r="R1" s="26" t="s">
        <v>7</v>
      </c>
      <c r="S1" s="24" t="s">
        <v>8</v>
      </c>
      <c r="T1" s="24" t="s">
        <v>13</v>
      </c>
      <c r="U1" s="24" t="s">
        <v>14</v>
      </c>
      <c r="V1" s="25" t="s">
        <v>6</v>
      </c>
      <c r="W1" s="26" t="s">
        <v>7</v>
      </c>
      <c r="X1" s="24" t="s">
        <v>8</v>
      </c>
    </row>
    <row r="2" spans="1:24" ht="46.5" customHeight="1" x14ac:dyDescent="0.2">
      <c r="A2" s="33">
        <v>1</v>
      </c>
      <c r="B2" s="24">
        <v>2</v>
      </c>
      <c r="C2" s="33">
        <v>3</v>
      </c>
      <c r="D2" s="24">
        <v>4</v>
      </c>
      <c r="E2" s="33">
        <v>5</v>
      </c>
      <c r="F2" s="24">
        <v>6</v>
      </c>
      <c r="G2" s="33">
        <v>7</v>
      </c>
      <c r="H2" s="24">
        <v>8</v>
      </c>
      <c r="I2" s="33">
        <v>9</v>
      </c>
      <c r="J2" s="24">
        <v>10</v>
      </c>
      <c r="K2" s="33">
        <v>6</v>
      </c>
      <c r="L2" s="24">
        <v>12</v>
      </c>
      <c r="M2" s="33">
        <v>13</v>
      </c>
      <c r="N2" s="33">
        <v>14</v>
      </c>
      <c r="O2" s="33">
        <v>15</v>
      </c>
      <c r="P2" s="24">
        <v>16</v>
      </c>
      <c r="Q2" s="33">
        <v>17</v>
      </c>
      <c r="R2" s="24">
        <v>18</v>
      </c>
      <c r="S2" s="33">
        <v>19</v>
      </c>
      <c r="T2" s="24">
        <v>20</v>
      </c>
      <c r="U2" s="33">
        <v>21</v>
      </c>
      <c r="V2" s="24">
        <v>22</v>
      </c>
      <c r="W2" s="33">
        <v>23</v>
      </c>
      <c r="X2" s="783">
        <v>19</v>
      </c>
    </row>
    <row r="3" spans="1:24" ht="46.5" customHeight="1" x14ac:dyDescent="0.2">
      <c r="A3" s="266" t="s">
        <v>15</v>
      </c>
      <c r="B3" s="267" t="s">
        <v>16</v>
      </c>
      <c r="C3" s="268">
        <v>30185444.800000001</v>
      </c>
      <c r="D3" s="303">
        <v>30116793.52</v>
      </c>
      <c r="E3" s="303">
        <v>7781621.8300000001</v>
      </c>
      <c r="F3" s="268">
        <f>F4+F19+F22+F27+F28+F29+F30+F31</f>
        <v>7520140.5199999996</v>
      </c>
      <c r="G3" s="269">
        <f>F3-E3</f>
        <v>-261481.31000000052</v>
      </c>
      <c r="H3" s="270">
        <f>IFERROR(G3/ABS(E3), "-")</f>
        <v>-3.3602418070732762E-2</v>
      </c>
      <c r="I3" s="271"/>
      <c r="J3" s="303">
        <v>15234470.189999999</v>
      </c>
      <c r="K3" s="268">
        <f>K4+K19+K22+K27+K28+K29+K30+K31</f>
        <v>15648276.980000002</v>
      </c>
      <c r="L3" s="269">
        <f>K3-J3</f>
        <v>413806.79000000283</v>
      </c>
      <c r="M3" s="270">
        <f>IFERROR(L3/ABS(J3), "-")</f>
        <v>2.7162532391289077E-2</v>
      </c>
      <c r="N3" s="271"/>
      <c r="O3" s="303">
        <v>22680490.259999998</v>
      </c>
      <c r="P3" s="303">
        <f>P4+P19+P22+P27+P28+P29+P30+P31</f>
        <v>23879488.769999996</v>
      </c>
      <c r="Q3" s="269">
        <f>P3-O3</f>
        <v>1198998.5099999979</v>
      </c>
      <c r="R3" s="270">
        <f>IFERROR(Q3/ABS(O3), "-")</f>
        <v>5.2864752756892036E-2</v>
      </c>
      <c r="S3" s="271"/>
      <c r="T3" s="268">
        <v>30116793.52</v>
      </c>
      <c r="U3" s="268">
        <f>U4+U19+U22+U27+U28+U29+U30+U31</f>
        <v>33427751.549999997</v>
      </c>
      <c r="V3" s="269">
        <f>U3-T3</f>
        <v>3310958.0299999975</v>
      </c>
      <c r="W3" s="270">
        <f>IFERROR(V3/ABS(T3), "-")</f>
        <v>0.10993726897922423</v>
      </c>
      <c r="X3" s="769"/>
    </row>
    <row r="4" spans="1:24" s="2" customFormat="1" ht="46.5" customHeight="1" x14ac:dyDescent="0.2">
      <c r="A4" s="259" t="s">
        <v>17</v>
      </c>
      <c r="B4" s="248" t="s">
        <v>18</v>
      </c>
      <c r="C4" s="239">
        <v>27177977.59</v>
      </c>
      <c r="D4" s="304">
        <v>26553014</v>
      </c>
      <c r="E4" s="304">
        <v>6849322.5599999987</v>
      </c>
      <c r="F4" s="239">
        <f>F5+F10+F13+F16</f>
        <v>6505305.9000000004</v>
      </c>
      <c r="G4" s="240">
        <f t="shared" ref="G4:G67" si="0">F4-E4</f>
        <v>-344016.65999999829</v>
      </c>
      <c r="H4" s="241">
        <f t="shared" ref="H4:H67" si="1">IFERROR(G4/ABS(E4), "-")</f>
        <v>-5.0226377424397187E-2</v>
      </c>
      <c r="I4" s="242"/>
      <c r="J4" s="304">
        <v>13423338.039999999</v>
      </c>
      <c r="K4" s="239">
        <f>K5+K10+K13+K16</f>
        <v>13662703.320000002</v>
      </c>
      <c r="L4" s="240">
        <f>K4-J4</f>
        <v>239365.28000000305</v>
      </c>
      <c r="M4" s="241">
        <f t="shared" ref="M4:M69" si="2">IFERROR(L4/ABS(J4), "-")</f>
        <v>1.7832023546358003E-2</v>
      </c>
      <c r="N4" s="242"/>
      <c r="O4" s="304">
        <v>19990682.879999999</v>
      </c>
      <c r="P4" s="304">
        <f>P5+P10+P13+P16</f>
        <v>21049947.109999996</v>
      </c>
      <c r="Q4" s="240">
        <f t="shared" ref="Q4:Q69" si="3">P4-O4</f>
        <v>1059264.2299999967</v>
      </c>
      <c r="R4" s="241">
        <f t="shared" ref="R4:R69" si="4">IFERROR(Q4/ABS(O4), "-")</f>
        <v>5.2987896229385677E-2</v>
      </c>
      <c r="S4" s="242"/>
      <c r="T4" s="239">
        <v>26553014</v>
      </c>
      <c r="U4" s="239">
        <f>U5+U10+U13+U16</f>
        <v>29538312.759999998</v>
      </c>
      <c r="V4" s="240">
        <f t="shared" ref="V4:V69" si="5">U4-T4</f>
        <v>2985298.7599999979</v>
      </c>
      <c r="W4" s="241">
        <f t="shared" ref="W4:W69" si="6">IFERROR(V4/ABS(T4), "-")</f>
        <v>0.11242786826384371</v>
      </c>
      <c r="X4" s="770"/>
    </row>
    <row r="5" spans="1:24" s="2" customFormat="1" ht="46.5" customHeight="1" x14ac:dyDescent="0.2">
      <c r="A5" s="148" t="s">
        <v>19</v>
      </c>
      <c r="B5" s="149" t="s">
        <v>20</v>
      </c>
      <c r="C5" s="145">
        <v>25683523.23</v>
      </c>
      <c r="D5" s="305">
        <v>24940314.579999998</v>
      </c>
      <c r="E5" s="305">
        <v>6451623.5800000001</v>
      </c>
      <c r="F5" s="145">
        <f>SUM(F6:F9)</f>
        <v>6105592.3600000003</v>
      </c>
      <c r="G5" s="146">
        <f t="shared" si="0"/>
        <v>-346031.21999999974</v>
      </c>
      <c r="H5" s="147">
        <f t="shared" si="1"/>
        <v>-5.3634750339851621E-2</v>
      </c>
      <c r="I5" s="885"/>
      <c r="J5" s="305">
        <v>12614520.58</v>
      </c>
      <c r="K5" s="145">
        <f>SUM(K6:K9)</f>
        <v>12871540.890000001</v>
      </c>
      <c r="L5" s="146">
        <f t="shared" ref="L5:L69" si="7">K5-J5</f>
        <v>257020.31000000052</v>
      </c>
      <c r="M5" s="147">
        <f t="shared" si="2"/>
        <v>2.0374956651741459E-2</v>
      </c>
      <c r="N5" s="885"/>
      <c r="O5" s="305">
        <v>18777417.579999998</v>
      </c>
      <c r="P5" s="305">
        <f>SUM(P6:P9)</f>
        <v>19887601.999999996</v>
      </c>
      <c r="Q5" s="146">
        <f t="shared" si="3"/>
        <v>1110184.4199999981</v>
      </c>
      <c r="R5" s="147">
        <f t="shared" si="4"/>
        <v>5.9123381331332048E-2</v>
      </c>
      <c r="S5" s="881"/>
      <c r="T5" s="145">
        <v>24940314.579999998</v>
      </c>
      <c r="U5" s="145">
        <f>SUM(U6:U9)</f>
        <v>28003258.169999998</v>
      </c>
      <c r="V5" s="146">
        <f t="shared" si="5"/>
        <v>3062943.59</v>
      </c>
      <c r="W5" s="147">
        <f t="shared" si="6"/>
        <v>0.12281094451215219</v>
      </c>
      <c r="X5" s="868"/>
    </row>
    <row r="6" spans="1:24" ht="46.5" customHeight="1" x14ac:dyDescent="0.2">
      <c r="A6" s="245" t="s">
        <v>21</v>
      </c>
      <c r="B6" s="58" t="s">
        <v>22</v>
      </c>
      <c r="C6" s="113">
        <v>23934851.960000005</v>
      </c>
      <c r="D6" s="306">
        <v>23276549.59</v>
      </c>
      <c r="E6" s="306">
        <v>6032225.5899999999</v>
      </c>
      <c r="F6" s="113">
        <f>5593245.43+97294.86</f>
        <v>5690540.29</v>
      </c>
      <c r="G6" s="114">
        <f>F6-E6</f>
        <v>-341685.29999999981</v>
      </c>
      <c r="H6" s="115">
        <f>IFERROR(G6/ABS(E6), "-")</f>
        <v>-5.6643322585022853E-2</v>
      </c>
      <c r="I6" s="886"/>
      <c r="J6" s="306">
        <v>11780333.59</v>
      </c>
      <c r="K6" s="113">
        <f>11934702.89+112079.67</f>
        <v>12046782.560000001</v>
      </c>
      <c r="L6" s="114">
        <f t="shared" si="7"/>
        <v>266448.97000000067</v>
      </c>
      <c r="M6" s="115">
        <f t="shared" si="2"/>
        <v>2.2618117557059832E-2</v>
      </c>
      <c r="N6" s="886"/>
      <c r="O6" s="306">
        <v>17528441.59</v>
      </c>
      <c r="P6" s="306">
        <f>18454683.16+175816.08</f>
        <v>18630499.239999998</v>
      </c>
      <c r="Q6" s="114">
        <f t="shared" si="3"/>
        <v>1102057.6499999985</v>
      </c>
      <c r="R6" s="115">
        <f t="shared" si="4"/>
        <v>6.2872540284968859E-2</v>
      </c>
      <c r="S6" s="882"/>
      <c r="T6" s="113">
        <v>23276549.59</v>
      </c>
      <c r="U6" s="113">
        <f>25827627.84+268872.29+148838</f>
        <v>26245338.129999999</v>
      </c>
      <c r="V6" s="114">
        <f>U6-T6</f>
        <v>2968788.5399999991</v>
      </c>
      <c r="W6" s="115">
        <f t="shared" si="6"/>
        <v>0.12754418469631945</v>
      </c>
      <c r="X6" s="869"/>
    </row>
    <row r="7" spans="1:24" ht="46.5" customHeight="1" x14ac:dyDescent="0.2">
      <c r="A7" s="245" t="s">
        <v>23</v>
      </c>
      <c r="B7" s="58" t="s">
        <v>24</v>
      </c>
      <c r="C7" s="113">
        <v>129546</v>
      </c>
      <c r="D7" s="306">
        <v>156247</v>
      </c>
      <c r="E7" s="306">
        <v>40426</v>
      </c>
      <c r="F7" s="113">
        <v>37965</v>
      </c>
      <c r="G7" s="114">
        <f t="shared" si="0"/>
        <v>-2461</v>
      </c>
      <c r="H7" s="115">
        <f t="shared" si="1"/>
        <v>-6.0876663533369617E-2</v>
      </c>
      <c r="I7" s="886"/>
      <c r="J7" s="306">
        <v>79033</v>
      </c>
      <c r="K7" s="113">
        <v>74377.86</v>
      </c>
      <c r="L7" s="114">
        <f t="shared" si="7"/>
        <v>-4655.1399999999994</v>
      </c>
      <c r="M7" s="115">
        <f t="shared" si="2"/>
        <v>-5.8901218478357137E-2</v>
      </c>
      <c r="N7" s="886"/>
      <c r="O7" s="306">
        <v>117640</v>
      </c>
      <c r="P7" s="306">
        <v>101148.86</v>
      </c>
      <c r="Q7" s="114">
        <f t="shared" si="3"/>
        <v>-16491.14</v>
      </c>
      <c r="R7" s="115">
        <f t="shared" si="4"/>
        <v>-0.14018310098605916</v>
      </c>
      <c r="S7" s="882"/>
      <c r="T7" s="113">
        <v>156247</v>
      </c>
      <c r="U7" s="113">
        <v>151323.85999999999</v>
      </c>
      <c r="V7" s="114">
        <f t="shared" si="5"/>
        <v>-4923.140000000014</v>
      </c>
      <c r="W7" s="115">
        <f t="shared" si="6"/>
        <v>-3.1508700967058656E-2</v>
      </c>
      <c r="X7" s="869"/>
    </row>
    <row r="8" spans="1:24" ht="46.5" customHeight="1" x14ac:dyDescent="0.2">
      <c r="A8" s="245" t="s">
        <v>25</v>
      </c>
      <c r="B8" s="58" t="s">
        <v>26</v>
      </c>
      <c r="C8" s="113">
        <v>1574611.2700000003</v>
      </c>
      <c r="D8" s="306">
        <v>1467543.99</v>
      </c>
      <c r="E8" s="306">
        <v>369057.99</v>
      </c>
      <c r="F8" s="113">
        <v>367078.07</v>
      </c>
      <c r="G8" s="114">
        <f t="shared" si="0"/>
        <v>-1979.9199999999837</v>
      </c>
      <c r="H8" s="115">
        <f t="shared" si="1"/>
        <v>-5.3647937550409999E-3</v>
      </c>
      <c r="I8" s="886"/>
      <c r="J8" s="306">
        <v>735219.99</v>
      </c>
      <c r="K8" s="113">
        <v>729523.47</v>
      </c>
      <c r="L8" s="114">
        <f t="shared" si="7"/>
        <v>-5696.5200000000186</v>
      </c>
      <c r="M8" s="115">
        <f t="shared" si="2"/>
        <v>-7.7480483086429935E-3</v>
      </c>
      <c r="N8" s="886"/>
      <c r="O8" s="306">
        <v>1101381.99</v>
      </c>
      <c r="P8" s="306">
        <v>1126890.8999999999</v>
      </c>
      <c r="Q8" s="114">
        <f t="shared" si="3"/>
        <v>25508.909999999916</v>
      </c>
      <c r="R8" s="115">
        <f t="shared" si="4"/>
        <v>2.3160819980359328E-2</v>
      </c>
      <c r="S8" s="882"/>
      <c r="T8" s="113">
        <v>1467543.99</v>
      </c>
      <c r="U8" s="113">
        <f>2989524.73-1428706.44</f>
        <v>1560818.29</v>
      </c>
      <c r="V8" s="114">
        <f t="shared" si="5"/>
        <v>93274.300000000047</v>
      </c>
      <c r="W8" s="115">
        <f t="shared" si="6"/>
        <v>6.3558094773022822E-2</v>
      </c>
      <c r="X8" s="869"/>
    </row>
    <row r="9" spans="1:24" ht="46.5" customHeight="1" x14ac:dyDescent="0.2">
      <c r="A9" s="245" t="s">
        <v>27</v>
      </c>
      <c r="B9" s="58" t="s">
        <v>28</v>
      </c>
      <c r="C9" s="113">
        <v>44514</v>
      </c>
      <c r="D9" s="306">
        <v>39974</v>
      </c>
      <c r="E9" s="306">
        <v>9914</v>
      </c>
      <c r="F9" s="113">
        <v>10009</v>
      </c>
      <c r="G9" s="114">
        <f t="shared" si="0"/>
        <v>95</v>
      </c>
      <c r="H9" s="115">
        <f t="shared" si="1"/>
        <v>9.5824087149485575E-3</v>
      </c>
      <c r="I9" s="887"/>
      <c r="J9" s="306">
        <v>19934</v>
      </c>
      <c r="K9" s="113">
        <v>20857</v>
      </c>
      <c r="L9" s="114">
        <f t="shared" si="7"/>
        <v>923</v>
      </c>
      <c r="M9" s="115">
        <f t="shared" si="2"/>
        <v>4.6302799237483698E-2</v>
      </c>
      <c r="N9" s="887"/>
      <c r="O9" s="306">
        <v>29954</v>
      </c>
      <c r="P9" s="306">
        <v>29063</v>
      </c>
      <c r="Q9" s="114">
        <f t="shared" si="3"/>
        <v>-891</v>
      </c>
      <c r="R9" s="115">
        <f t="shared" si="4"/>
        <v>-2.9745609935234025E-2</v>
      </c>
      <c r="S9" s="883"/>
      <c r="T9" s="113">
        <v>39974</v>
      </c>
      <c r="U9" s="113">
        <v>45777.89</v>
      </c>
      <c r="V9" s="114">
        <f t="shared" si="5"/>
        <v>5803.8899999999994</v>
      </c>
      <c r="W9" s="115">
        <f t="shared" si="6"/>
        <v>0.14519162455596135</v>
      </c>
      <c r="X9" s="870"/>
    </row>
    <row r="10" spans="1:24" ht="46.5" customHeight="1" x14ac:dyDescent="0.2">
      <c r="A10" s="148" t="s">
        <v>29</v>
      </c>
      <c r="B10" s="149" t="s">
        <v>30</v>
      </c>
      <c r="C10" s="145">
        <v>0</v>
      </c>
      <c r="D10" s="305">
        <v>0</v>
      </c>
      <c r="E10" s="305">
        <v>0</v>
      </c>
      <c r="F10" s="145">
        <f t="shared" ref="F10" si="8">SUM(F11:F12)</f>
        <v>0</v>
      </c>
      <c r="G10" s="146">
        <f t="shared" si="0"/>
        <v>0</v>
      </c>
      <c r="H10" s="147" t="str">
        <f t="shared" si="1"/>
        <v>-</v>
      </c>
      <c r="I10" s="881"/>
      <c r="J10" s="305">
        <v>0</v>
      </c>
      <c r="K10" s="145">
        <f t="shared" ref="K10" si="9">SUM(K11:K12)</f>
        <v>0</v>
      </c>
      <c r="L10" s="146">
        <f t="shared" si="7"/>
        <v>0</v>
      </c>
      <c r="M10" s="147" t="str">
        <f t="shared" si="2"/>
        <v>-</v>
      </c>
      <c r="N10" s="881"/>
      <c r="O10" s="305">
        <v>0</v>
      </c>
      <c r="P10" s="305">
        <f t="shared" ref="P10" si="10">SUM(P11:P12)</f>
        <v>0</v>
      </c>
      <c r="Q10" s="146">
        <f t="shared" si="3"/>
        <v>0</v>
      </c>
      <c r="R10" s="147" t="str">
        <f t="shared" si="4"/>
        <v>-</v>
      </c>
      <c r="S10" s="881"/>
      <c r="T10" s="145">
        <v>0</v>
      </c>
      <c r="U10" s="145">
        <f t="shared" ref="U10" si="11">SUM(U11:U12)</f>
        <v>0</v>
      </c>
      <c r="V10" s="146">
        <f t="shared" si="5"/>
        <v>0</v>
      </c>
      <c r="W10" s="147" t="str">
        <f t="shared" si="6"/>
        <v>-</v>
      </c>
      <c r="X10" s="868"/>
    </row>
    <row r="11" spans="1:24" ht="46.5" customHeight="1" x14ac:dyDescent="0.2">
      <c r="A11" s="245" t="s">
        <v>31</v>
      </c>
      <c r="B11" s="58" t="s">
        <v>32</v>
      </c>
      <c r="C11" s="113">
        <v>0</v>
      </c>
      <c r="D11" s="306">
        <v>0</v>
      </c>
      <c r="E11" s="306">
        <v>0</v>
      </c>
      <c r="F11" s="113"/>
      <c r="G11" s="114">
        <f t="shared" si="0"/>
        <v>0</v>
      </c>
      <c r="H11" s="115" t="str">
        <f t="shared" si="1"/>
        <v>-</v>
      </c>
      <c r="I11" s="882"/>
      <c r="J11" s="306">
        <v>0</v>
      </c>
      <c r="K11" s="113"/>
      <c r="L11" s="114">
        <f t="shared" si="7"/>
        <v>0</v>
      </c>
      <c r="M11" s="115" t="str">
        <f t="shared" si="2"/>
        <v>-</v>
      </c>
      <c r="N11" s="882"/>
      <c r="O11" s="306">
        <v>0</v>
      </c>
      <c r="P11" s="306"/>
      <c r="Q11" s="114">
        <f t="shared" si="3"/>
        <v>0</v>
      </c>
      <c r="R11" s="115" t="str">
        <f t="shared" si="4"/>
        <v>-</v>
      </c>
      <c r="S11" s="882"/>
      <c r="T11" s="113">
        <v>0</v>
      </c>
      <c r="U11" s="113"/>
      <c r="V11" s="114">
        <f t="shared" si="5"/>
        <v>0</v>
      </c>
      <c r="W11" s="115" t="str">
        <f t="shared" si="6"/>
        <v>-</v>
      </c>
      <c r="X11" s="869"/>
    </row>
    <row r="12" spans="1:24" ht="46.5" customHeight="1" x14ac:dyDescent="0.2">
      <c r="A12" s="245" t="s">
        <v>33</v>
      </c>
      <c r="B12" s="58" t="s">
        <v>34</v>
      </c>
      <c r="C12" s="113">
        <v>0</v>
      </c>
      <c r="D12" s="306">
        <v>0</v>
      </c>
      <c r="E12" s="306">
        <v>0</v>
      </c>
      <c r="F12" s="113"/>
      <c r="G12" s="114">
        <f t="shared" si="0"/>
        <v>0</v>
      </c>
      <c r="H12" s="115" t="str">
        <f t="shared" si="1"/>
        <v>-</v>
      </c>
      <c r="I12" s="883"/>
      <c r="J12" s="306">
        <v>0</v>
      </c>
      <c r="K12" s="113"/>
      <c r="L12" s="114">
        <f t="shared" si="7"/>
        <v>0</v>
      </c>
      <c r="M12" s="115" t="str">
        <f t="shared" si="2"/>
        <v>-</v>
      </c>
      <c r="N12" s="883"/>
      <c r="O12" s="306">
        <v>0</v>
      </c>
      <c r="P12" s="306"/>
      <c r="Q12" s="114">
        <f t="shared" si="3"/>
        <v>0</v>
      </c>
      <c r="R12" s="115" t="str">
        <f t="shared" si="4"/>
        <v>-</v>
      </c>
      <c r="S12" s="883"/>
      <c r="T12" s="113">
        <v>0</v>
      </c>
      <c r="U12" s="113"/>
      <c r="V12" s="114">
        <f t="shared" si="5"/>
        <v>0</v>
      </c>
      <c r="W12" s="115" t="str">
        <f t="shared" si="6"/>
        <v>-</v>
      </c>
      <c r="X12" s="870"/>
    </row>
    <row r="13" spans="1:24" ht="46.5" customHeight="1" x14ac:dyDescent="0.2">
      <c r="A13" s="148" t="s">
        <v>35</v>
      </c>
      <c r="B13" s="149" t="s">
        <v>36</v>
      </c>
      <c r="C13" s="145">
        <v>1391813.41</v>
      </c>
      <c r="D13" s="305">
        <v>1510149.1900000002</v>
      </c>
      <c r="E13" s="305">
        <v>375885.67000000004</v>
      </c>
      <c r="F13" s="145">
        <f>SUM(F14:F15)</f>
        <v>376631.12</v>
      </c>
      <c r="G13" s="146">
        <f t="shared" si="0"/>
        <v>745.44999999995343</v>
      </c>
      <c r="H13" s="147">
        <f t="shared" si="1"/>
        <v>1.983182811943731E-3</v>
      </c>
      <c r="I13" s="881"/>
      <c r="J13" s="305">
        <v>753973.51000000013</v>
      </c>
      <c r="K13" s="145">
        <f>SUM(K14:K15)</f>
        <v>742881.13</v>
      </c>
      <c r="L13" s="146">
        <f t="shared" si="7"/>
        <v>-11092.380000000121</v>
      </c>
      <c r="M13" s="147">
        <f t="shared" si="2"/>
        <v>-1.4711896177891075E-2</v>
      </c>
      <c r="N13" s="881"/>
      <c r="O13" s="305">
        <v>1132061.3500000001</v>
      </c>
      <c r="P13" s="305">
        <f>SUM(P14:P15)</f>
        <v>1078902.8600000001</v>
      </c>
      <c r="Q13" s="146">
        <f t="shared" si="3"/>
        <v>-53158.489999999991</v>
      </c>
      <c r="R13" s="147">
        <f t="shared" si="4"/>
        <v>-4.6957251919253304E-2</v>
      </c>
      <c r="S13" s="881"/>
      <c r="T13" s="145">
        <v>1510149.1900000002</v>
      </c>
      <c r="U13" s="145">
        <f>SUM(U14:U15)</f>
        <v>1424707.22</v>
      </c>
      <c r="V13" s="146">
        <f t="shared" si="5"/>
        <v>-85441.970000000205</v>
      </c>
      <c r="W13" s="147">
        <f t="shared" si="6"/>
        <v>-5.6578496062365993E-2</v>
      </c>
      <c r="X13" s="868"/>
    </row>
    <row r="14" spans="1:24" ht="46.5" customHeight="1" x14ac:dyDescent="0.2">
      <c r="A14" s="245" t="s">
        <v>37</v>
      </c>
      <c r="B14" s="58" t="s">
        <v>38</v>
      </c>
      <c r="C14" s="113">
        <v>1391813.41</v>
      </c>
      <c r="D14" s="306">
        <v>1510149.1900000002</v>
      </c>
      <c r="E14" s="306">
        <v>375885.67000000004</v>
      </c>
      <c r="F14" s="113">
        <v>376631.12</v>
      </c>
      <c r="G14" s="114">
        <f t="shared" si="0"/>
        <v>745.44999999995343</v>
      </c>
      <c r="H14" s="115">
        <f t="shared" si="1"/>
        <v>1.983182811943731E-3</v>
      </c>
      <c r="I14" s="882"/>
      <c r="J14" s="306">
        <v>753973.51000000013</v>
      </c>
      <c r="K14" s="113">
        <f>742881.13</f>
        <v>742881.13</v>
      </c>
      <c r="L14" s="114">
        <f t="shared" si="7"/>
        <v>-11092.380000000121</v>
      </c>
      <c r="M14" s="115">
        <f t="shared" si="2"/>
        <v>-1.4711896177891075E-2</v>
      </c>
      <c r="N14" s="882"/>
      <c r="O14" s="306">
        <v>1132061.3500000001</v>
      </c>
      <c r="P14" s="306">
        <v>1078902.8600000001</v>
      </c>
      <c r="Q14" s="114">
        <f t="shared" si="3"/>
        <v>-53158.489999999991</v>
      </c>
      <c r="R14" s="115">
        <f t="shared" si="4"/>
        <v>-4.6957251919253304E-2</v>
      </c>
      <c r="S14" s="882"/>
      <c r="T14" s="113">
        <v>1510149.1900000002</v>
      </c>
      <c r="U14" s="113">
        <v>1424707.22</v>
      </c>
      <c r="V14" s="114">
        <f t="shared" si="5"/>
        <v>-85441.970000000205</v>
      </c>
      <c r="W14" s="115">
        <f t="shared" si="6"/>
        <v>-5.6578496062365993E-2</v>
      </c>
      <c r="X14" s="869"/>
    </row>
    <row r="15" spans="1:24" ht="46.5" customHeight="1" x14ac:dyDescent="0.2">
      <c r="A15" s="245" t="s">
        <v>39</v>
      </c>
      <c r="B15" s="58" t="s">
        <v>40</v>
      </c>
      <c r="C15" s="113">
        <v>0</v>
      </c>
      <c r="D15" s="306">
        <v>0</v>
      </c>
      <c r="E15" s="306">
        <v>0</v>
      </c>
      <c r="F15" s="113"/>
      <c r="G15" s="114">
        <f t="shared" si="0"/>
        <v>0</v>
      </c>
      <c r="H15" s="115" t="str">
        <f t="shared" si="1"/>
        <v>-</v>
      </c>
      <c r="I15" s="883"/>
      <c r="J15" s="306">
        <v>0</v>
      </c>
      <c r="K15" s="113"/>
      <c r="L15" s="114">
        <f t="shared" si="7"/>
        <v>0</v>
      </c>
      <c r="M15" s="115" t="str">
        <f t="shared" si="2"/>
        <v>-</v>
      </c>
      <c r="N15" s="883"/>
      <c r="O15" s="306">
        <v>0</v>
      </c>
      <c r="P15" s="306"/>
      <c r="Q15" s="114">
        <f t="shared" si="3"/>
        <v>0</v>
      </c>
      <c r="R15" s="115" t="str">
        <f t="shared" si="4"/>
        <v>-</v>
      </c>
      <c r="S15" s="883"/>
      <c r="T15" s="113">
        <v>0</v>
      </c>
      <c r="U15" s="113"/>
      <c r="V15" s="114">
        <f t="shared" si="5"/>
        <v>0</v>
      </c>
      <c r="W15" s="115" t="str">
        <f t="shared" si="6"/>
        <v>-</v>
      </c>
      <c r="X15" s="870"/>
    </row>
    <row r="16" spans="1:24" ht="46.5" customHeight="1" x14ac:dyDescent="0.2">
      <c r="A16" s="148" t="s">
        <v>41</v>
      </c>
      <c r="B16" s="149" t="s">
        <v>42</v>
      </c>
      <c r="C16" s="145">
        <v>102640.94999999998</v>
      </c>
      <c r="D16" s="305">
        <v>102550.22999999998</v>
      </c>
      <c r="E16" s="305">
        <v>21813.31</v>
      </c>
      <c r="F16" s="305">
        <f>F17+F18</f>
        <v>23082.42</v>
      </c>
      <c r="G16" s="146">
        <f t="shared" si="0"/>
        <v>1269.1099999999969</v>
      </c>
      <c r="H16" s="147">
        <f>IFERROR(G16/ABS(E16), "-")</f>
        <v>5.8180532894824166E-2</v>
      </c>
      <c r="I16" s="881"/>
      <c r="J16" s="305">
        <v>54843.95</v>
      </c>
      <c r="K16" s="305">
        <f>K18</f>
        <v>48281.3</v>
      </c>
      <c r="L16" s="146">
        <f t="shared" si="7"/>
        <v>-6562.6499999999942</v>
      </c>
      <c r="M16" s="147">
        <f t="shared" si="2"/>
        <v>-0.11966041833237749</v>
      </c>
      <c r="N16" s="881"/>
      <c r="O16" s="305">
        <v>81203.949999999983</v>
      </c>
      <c r="P16" s="305">
        <f>P18</f>
        <v>83442.25</v>
      </c>
      <c r="Q16" s="146">
        <f t="shared" si="3"/>
        <v>2238.3000000000175</v>
      </c>
      <c r="R16" s="147">
        <f t="shared" si="4"/>
        <v>2.7563930079756195E-2</v>
      </c>
      <c r="S16" s="881"/>
      <c r="T16" s="145">
        <v>102550.22999999998</v>
      </c>
      <c r="U16" s="145">
        <f>U18</f>
        <v>110347.37</v>
      </c>
      <c r="V16" s="146">
        <f t="shared" si="5"/>
        <v>7797.140000000014</v>
      </c>
      <c r="W16" s="147">
        <f t="shared" si="6"/>
        <v>7.603239895220143E-2</v>
      </c>
      <c r="X16" s="868"/>
    </row>
    <row r="17" spans="1:24" ht="46.5" customHeight="1" x14ac:dyDescent="0.2">
      <c r="A17" s="245" t="s">
        <v>43</v>
      </c>
      <c r="B17" s="116" t="s">
        <v>44</v>
      </c>
      <c r="C17" s="113">
        <v>0</v>
      </c>
      <c r="D17" s="306">
        <v>0</v>
      </c>
      <c r="E17" s="306">
        <v>0</v>
      </c>
      <c r="F17" s="113"/>
      <c r="G17" s="114">
        <f t="shared" si="0"/>
        <v>0</v>
      </c>
      <c r="H17" s="115" t="str">
        <f t="shared" si="1"/>
        <v>-</v>
      </c>
      <c r="I17" s="882"/>
      <c r="J17" s="306">
        <v>0</v>
      </c>
      <c r="K17" s="113"/>
      <c r="L17" s="114">
        <f t="shared" si="7"/>
        <v>0</v>
      </c>
      <c r="M17" s="115" t="str">
        <f t="shared" si="2"/>
        <v>-</v>
      </c>
      <c r="N17" s="882"/>
      <c r="O17" s="306">
        <v>0</v>
      </c>
      <c r="P17" s="306"/>
      <c r="Q17" s="114">
        <f t="shared" si="3"/>
        <v>0</v>
      </c>
      <c r="R17" s="115" t="str">
        <f t="shared" si="4"/>
        <v>-</v>
      </c>
      <c r="S17" s="882"/>
      <c r="T17" s="113">
        <v>0</v>
      </c>
      <c r="U17" s="113"/>
      <c r="V17" s="114">
        <f t="shared" si="5"/>
        <v>0</v>
      </c>
      <c r="W17" s="115" t="str">
        <f t="shared" si="6"/>
        <v>-</v>
      </c>
      <c r="X17" s="869"/>
    </row>
    <row r="18" spans="1:24" ht="46.5" customHeight="1" x14ac:dyDescent="0.2">
      <c r="A18" s="245" t="s">
        <v>45</v>
      </c>
      <c r="B18" s="58" t="s">
        <v>46</v>
      </c>
      <c r="C18" s="113">
        <v>102640.94999999998</v>
      </c>
      <c r="D18" s="306">
        <v>102550.22999999998</v>
      </c>
      <c r="E18" s="307">
        <v>21813.31</v>
      </c>
      <c r="F18" s="113">
        <v>23082.42</v>
      </c>
      <c r="G18" s="114">
        <f t="shared" si="0"/>
        <v>1269.1099999999969</v>
      </c>
      <c r="H18" s="115">
        <f t="shared" si="1"/>
        <v>5.8180532894824166E-2</v>
      </c>
      <c r="I18" s="882"/>
      <c r="J18" s="306">
        <v>54843.95</v>
      </c>
      <c r="K18" s="113">
        <v>48281.3</v>
      </c>
      <c r="L18" s="114">
        <f t="shared" si="7"/>
        <v>-6562.6499999999942</v>
      </c>
      <c r="M18" s="115">
        <f t="shared" si="2"/>
        <v>-0.11966041833237749</v>
      </c>
      <c r="N18" s="882"/>
      <c r="O18" s="307">
        <v>81203.949999999983</v>
      </c>
      <c r="P18" s="306">
        <v>83442.25</v>
      </c>
      <c r="Q18" s="114">
        <f t="shared" si="3"/>
        <v>2238.3000000000175</v>
      </c>
      <c r="R18" s="115">
        <f t="shared" si="4"/>
        <v>2.7563930079756195E-2</v>
      </c>
      <c r="S18" s="882"/>
      <c r="T18" s="117">
        <v>102550.22999999998</v>
      </c>
      <c r="U18" s="113">
        <f>108126.85+2262.4-41.88</f>
        <v>110347.37</v>
      </c>
      <c r="V18" s="114">
        <f t="shared" si="5"/>
        <v>7797.140000000014</v>
      </c>
      <c r="W18" s="115">
        <f t="shared" si="6"/>
        <v>7.603239895220143E-2</v>
      </c>
      <c r="X18" s="869"/>
    </row>
    <row r="19" spans="1:24" s="2" customFormat="1" ht="46.5" customHeight="1" x14ac:dyDescent="0.2">
      <c r="A19" s="148" t="s">
        <v>47</v>
      </c>
      <c r="B19" s="149" t="s">
        <v>48</v>
      </c>
      <c r="C19" s="145">
        <v>0</v>
      </c>
      <c r="D19" s="305">
        <v>0</v>
      </c>
      <c r="E19" s="305">
        <v>0</v>
      </c>
      <c r="F19" s="145">
        <f t="shared" ref="F19" si="12">SUM(F20:F21)</f>
        <v>0</v>
      </c>
      <c r="G19" s="146">
        <f t="shared" si="0"/>
        <v>0</v>
      </c>
      <c r="H19" s="147" t="str">
        <f t="shared" si="1"/>
        <v>-</v>
      </c>
      <c r="I19" s="881"/>
      <c r="J19" s="305">
        <v>0</v>
      </c>
      <c r="K19" s="145">
        <f t="shared" ref="K19" si="13">SUM(K20:K21)</f>
        <v>0</v>
      </c>
      <c r="L19" s="146">
        <f t="shared" si="7"/>
        <v>0</v>
      </c>
      <c r="M19" s="147" t="str">
        <f t="shared" si="2"/>
        <v>-</v>
      </c>
      <c r="N19" s="881"/>
      <c r="O19" s="305">
        <v>0</v>
      </c>
      <c r="P19" s="305">
        <f t="shared" ref="P19" si="14">SUM(P20:P21)</f>
        <v>0</v>
      </c>
      <c r="Q19" s="146">
        <f t="shared" si="3"/>
        <v>0</v>
      </c>
      <c r="R19" s="147" t="str">
        <f t="shared" si="4"/>
        <v>-</v>
      </c>
      <c r="S19" s="881"/>
      <c r="T19" s="145">
        <v>0</v>
      </c>
      <c r="U19" s="145">
        <f t="shared" ref="U19" si="15">SUM(U20:U21)</f>
        <v>0</v>
      </c>
      <c r="V19" s="146">
        <f t="shared" si="5"/>
        <v>0</v>
      </c>
      <c r="W19" s="147" t="str">
        <f t="shared" si="6"/>
        <v>-</v>
      </c>
      <c r="X19" s="868"/>
    </row>
    <row r="20" spans="1:24" ht="46.5" customHeight="1" x14ac:dyDescent="0.2">
      <c r="A20" s="245" t="s">
        <v>49</v>
      </c>
      <c r="B20" s="58" t="s">
        <v>50</v>
      </c>
      <c r="C20" s="113">
        <v>0</v>
      </c>
      <c r="D20" s="306">
        <v>0</v>
      </c>
      <c r="E20" s="306">
        <v>0</v>
      </c>
      <c r="F20" s="113"/>
      <c r="G20" s="114">
        <f t="shared" si="0"/>
        <v>0</v>
      </c>
      <c r="H20" s="115" t="str">
        <f t="shared" si="1"/>
        <v>-</v>
      </c>
      <c r="I20" s="882"/>
      <c r="J20" s="306">
        <v>0</v>
      </c>
      <c r="K20" s="113"/>
      <c r="L20" s="114">
        <f t="shared" si="7"/>
        <v>0</v>
      </c>
      <c r="M20" s="115" t="str">
        <f t="shared" si="2"/>
        <v>-</v>
      </c>
      <c r="N20" s="882"/>
      <c r="O20" s="306">
        <v>0</v>
      </c>
      <c r="P20" s="306"/>
      <c r="Q20" s="114">
        <f t="shared" si="3"/>
        <v>0</v>
      </c>
      <c r="R20" s="115" t="str">
        <f t="shared" si="4"/>
        <v>-</v>
      </c>
      <c r="S20" s="882"/>
      <c r="T20" s="113">
        <v>0</v>
      </c>
      <c r="U20" s="113"/>
      <c r="V20" s="114">
        <f t="shared" si="5"/>
        <v>0</v>
      </c>
      <c r="W20" s="115" t="str">
        <f t="shared" si="6"/>
        <v>-</v>
      </c>
      <c r="X20" s="869"/>
    </row>
    <row r="21" spans="1:24" ht="46.5" customHeight="1" x14ac:dyDescent="0.2">
      <c r="A21" s="245" t="s">
        <v>51</v>
      </c>
      <c r="B21" s="58" t="s">
        <v>52</v>
      </c>
      <c r="C21" s="113">
        <v>0</v>
      </c>
      <c r="D21" s="306">
        <v>0</v>
      </c>
      <c r="E21" s="306">
        <v>0</v>
      </c>
      <c r="F21" s="113"/>
      <c r="G21" s="114">
        <f t="shared" si="0"/>
        <v>0</v>
      </c>
      <c r="H21" s="115" t="str">
        <f t="shared" si="1"/>
        <v>-</v>
      </c>
      <c r="I21" s="883"/>
      <c r="J21" s="306">
        <v>0</v>
      </c>
      <c r="K21" s="113"/>
      <c r="L21" s="114">
        <f t="shared" si="7"/>
        <v>0</v>
      </c>
      <c r="M21" s="115" t="str">
        <f t="shared" si="2"/>
        <v>-</v>
      </c>
      <c r="N21" s="883"/>
      <c r="O21" s="306">
        <v>0</v>
      </c>
      <c r="P21" s="306"/>
      <c r="Q21" s="114">
        <f t="shared" si="3"/>
        <v>0</v>
      </c>
      <c r="R21" s="115" t="str">
        <f t="shared" si="4"/>
        <v>-</v>
      </c>
      <c r="S21" s="883"/>
      <c r="T21" s="113">
        <v>0</v>
      </c>
      <c r="U21" s="113"/>
      <c r="V21" s="114">
        <f t="shared" si="5"/>
        <v>0</v>
      </c>
      <c r="W21" s="115" t="str">
        <f t="shared" si="6"/>
        <v>-</v>
      </c>
      <c r="X21" s="870"/>
    </row>
    <row r="22" spans="1:24" s="2" customFormat="1" ht="46.5" customHeight="1" x14ac:dyDescent="0.2">
      <c r="A22" s="148" t="s">
        <v>53</v>
      </c>
      <c r="B22" s="149" t="s">
        <v>54</v>
      </c>
      <c r="C22" s="145">
        <v>1775375.69</v>
      </c>
      <c r="D22" s="305">
        <v>2288421.69</v>
      </c>
      <c r="E22" s="305">
        <v>615237.61</v>
      </c>
      <c r="F22" s="145">
        <f>SUM(F23:F26)</f>
        <v>698601.21000000008</v>
      </c>
      <c r="G22" s="146">
        <f t="shared" si="0"/>
        <v>83363.600000000093</v>
      </c>
      <c r="H22" s="147">
        <f t="shared" si="1"/>
        <v>0.13549821832251135</v>
      </c>
      <c r="I22" s="885"/>
      <c r="J22" s="305">
        <v>1172219.48</v>
      </c>
      <c r="K22" s="145">
        <f>SUM(K23:K26)</f>
        <v>1353514</v>
      </c>
      <c r="L22" s="146">
        <f t="shared" si="7"/>
        <v>181294.52000000002</v>
      </c>
      <c r="M22" s="147">
        <f t="shared" si="2"/>
        <v>0.15465919402738473</v>
      </c>
      <c r="N22" s="891" t="s">
        <v>55</v>
      </c>
      <c r="O22" s="305">
        <v>1726991.61</v>
      </c>
      <c r="P22" s="305">
        <f>SUM(P23:P26)</f>
        <v>1872369.03</v>
      </c>
      <c r="Q22" s="146">
        <f t="shared" si="3"/>
        <v>145377.41999999993</v>
      </c>
      <c r="R22" s="147">
        <f t="shared" si="4"/>
        <v>8.4179575139916238E-2</v>
      </c>
      <c r="S22" s="881"/>
      <c r="T22" s="145">
        <v>2288421.69</v>
      </c>
      <c r="U22" s="145">
        <f>SUM(U23:U26)</f>
        <v>2434660.87</v>
      </c>
      <c r="V22" s="146">
        <f t="shared" si="5"/>
        <v>146239.18000000017</v>
      </c>
      <c r="W22" s="147">
        <f t="shared" si="6"/>
        <v>6.3903947702925401E-2</v>
      </c>
      <c r="X22" s="854" t="s">
        <v>56</v>
      </c>
    </row>
    <row r="23" spans="1:24" ht="46.5" customHeight="1" x14ac:dyDescent="0.2">
      <c r="A23" s="516" t="s">
        <v>57</v>
      </c>
      <c r="B23" s="116" t="s">
        <v>58</v>
      </c>
      <c r="C23" s="117">
        <v>1485663.4500000002</v>
      </c>
      <c r="D23" s="307">
        <v>1997812.1300000004</v>
      </c>
      <c r="E23" s="307">
        <v>535470.80000000005</v>
      </c>
      <c r="F23" s="117">
        <v>617059.02</v>
      </c>
      <c r="G23" s="134">
        <f t="shared" si="0"/>
        <v>81588.219999999972</v>
      </c>
      <c r="H23" s="135">
        <f t="shared" si="1"/>
        <v>0.15236726260330155</v>
      </c>
      <c r="I23" s="886"/>
      <c r="J23" s="307">
        <v>1022917.91</v>
      </c>
      <c r="K23" s="117">
        <v>1211727.95</v>
      </c>
      <c r="L23" s="134">
        <f t="shared" si="7"/>
        <v>188810.03999999992</v>
      </c>
      <c r="M23" s="135">
        <f t="shared" si="2"/>
        <v>0.1845798554842</v>
      </c>
      <c r="N23" s="892"/>
      <c r="O23" s="307">
        <v>1510365.02</v>
      </c>
      <c r="P23" s="307">
        <v>1663468.53</v>
      </c>
      <c r="Q23" s="134">
        <f t="shared" si="3"/>
        <v>153103.51</v>
      </c>
      <c r="R23" s="135">
        <f t="shared" si="4"/>
        <v>0.10136854864395628</v>
      </c>
      <c r="S23" s="882"/>
      <c r="T23" s="117">
        <v>1997812.1300000004</v>
      </c>
      <c r="U23" s="113">
        <v>2134988.64</v>
      </c>
      <c r="V23" s="114">
        <f t="shared" si="5"/>
        <v>137176.50999999978</v>
      </c>
      <c r="W23" s="115">
        <f t="shared" si="6"/>
        <v>6.8663368261759297E-2</v>
      </c>
      <c r="X23" s="855"/>
    </row>
    <row r="24" spans="1:24" ht="46.5" customHeight="1" x14ac:dyDescent="0.2">
      <c r="A24" s="245" t="s">
        <v>59</v>
      </c>
      <c r="B24" s="58" t="s">
        <v>60</v>
      </c>
      <c r="C24" s="113">
        <v>0</v>
      </c>
      <c r="D24" s="306">
        <v>0</v>
      </c>
      <c r="E24" s="306">
        <v>0</v>
      </c>
      <c r="F24" s="113"/>
      <c r="G24" s="114">
        <f t="shared" si="0"/>
        <v>0</v>
      </c>
      <c r="H24" s="115" t="str">
        <f t="shared" si="1"/>
        <v>-</v>
      </c>
      <c r="I24" s="886"/>
      <c r="J24" s="306">
        <v>0</v>
      </c>
      <c r="K24" s="113"/>
      <c r="L24" s="114">
        <f t="shared" si="7"/>
        <v>0</v>
      </c>
      <c r="M24" s="115" t="str">
        <f t="shared" si="2"/>
        <v>-</v>
      </c>
      <c r="N24" s="892"/>
      <c r="O24" s="306">
        <v>0</v>
      </c>
      <c r="P24" s="306"/>
      <c r="Q24" s="114">
        <f t="shared" si="3"/>
        <v>0</v>
      </c>
      <c r="R24" s="115" t="str">
        <f t="shared" si="4"/>
        <v>-</v>
      </c>
      <c r="S24" s="882"/>
      <c r="T24" s="113">
        <v>0</v>
      </c>
      <c r="U24" s="113"/>
      <c r="V24" s="114">
        <f t="shared" si="5"/>
        <v>0</v>
      </c>
      <c r="W24" s="115" t="str">
        <f t="shared" si="6"/>
        <v>-</v>
      </c>
      <c r="X24" s="855"/>
    </row>
    <row r="25" spans="1:24" ht="46.5" customHeight="1" x14ac:dyDescent="0.2">
      <c r="A25" s="245" t="s">
        <v>61</v>
      </c>
      <c r="B25" s="58" t="s">
        <v>62</v>
      </c>
      <c r="C25" s="113">
        <v>62028.83</v>
      </c>
      <c r="D25" s="306">
        <v>66271.149999999994</v>
      </c>
      <c r="E25" s="306">
        <v>19072.13</v>
      </c>
      <c r="F25" s="113">
        <f>20545.41-72</f>
        <v>20473.41</v>
      </c>
      <c r="G25" s="114">
        <f t="shared" si="0"/>
        <v>1401.2799999999988</v>
      </c>
      <c r="H25" s="115">
        <f t="shared" si="1"/>
        <v>7.3472653552592124E-2</v>
      </c>
      <c r="I25" s="886"/>
      <c r="J25" s="306">
        <v>36370.75</v>
      </c>
      <c r="K25" s="113">
        <v>31428.18</v>
      </c>
      <c r="L25" s="114">
        <f t="shared" si="7"/>
        <v>-4942.57</v>
      </c>
      <c r="M25" s="115">
        <f t="shared" si="2"/>
        <v>-0.1358940907185032</v>
      </c>
      <c r="N25" s="892"/>
      <c r="O25" s="306">
        <v>51611.93</v>
      </c>
      <c r="P25" s="306">
        <v>50408.4</v>
      </c>
      <c r="Q25" s="114">
        <f t="shared" si="3"/>
        <v>-1203.5299999999988</v>
      </c>
      <c r="R25" s="115">
        <f t="shared" si="4"/>
        <v>-2.3318833455753328E-2</v>
      </c>
      <c r="S25" s="882"/>
      <c r="T25" s="113">
        <v>66271.149999999994</v>
      </c>
      <c r="U25" s="113">
        <v>81336.56</v>
      </c>
      <c r="V25" s="114">
        <f t="shared" si="5"/>
        <v>15065.410000000003</v>
      </c>
      <c r="W25" s="115">
        <f t="shared" si="6"/>
        <v>0.22732984111487434</v>
      </c>
      <c r="X25" s="855"/>
    </row>
    <row r="26" spans="1:24" ht="46.5" customHeight="1" x14ac:dyDescent="0.2">
      <c r="A26" s="245" t="s">
        <v>63</v>
      </c>
      <c r="B26" s="58" t="s">
        <v>64</v>
      </c>
      <c r="C26" s="113">
        <v>227683.41</v>
      </c>
      <c r="D26" s="306">
        <v>224338.41</v>
      </c>
      <c r="E26" s="306">
        <v>60694.680000000008</v>
      </c>
      <c r="F26" s="113">
        <v>61068.78</v>
      </c>
      <c r="G26" s="114">
        <f t="shared" si="0"/>
        <v>374.09999999999127</v>
      </c>
      <c r="H26" s="115">
        <f t="shared" si="1"/>
        <v>6.1636374061118902E-3</v>
      </c>
      <c r="I26" s="887"/>
      <c r="J26" s="306">
        <v>112930.82</v>
      </c>
      <c r="K26" s="113">
        <v>110357.87</v>
      </c>
      <c r="L26" s="114">
        <f t="shared" si="7"/>
        <v>-2572.9500000000116</v>
      </c>
      <c r="M26" s="115">
        <f t="shared" si="2"/>
        <v>-2.2783417316902609E-2</v>
      </c>
      <c r="N26" s="893"/>
      <c r="O26" s="306">
        <v>165014.66</v>
      </c>
      <c r="P26" s="306">
        <v>158492.1</v>
      </c>
      <c r="Q26" s="114">
        <f t="shared" si="3"/>
        <v>-6522.5599999999977</v>
      </c>
      <c r="R26" s="115">
        <f t="shared" si="4"/>
        <v>-3.9527154738857734E-2</v>
      </c>
      <c r="S26" s="883"/>
      <c r="T26" s="113">
        <v>224338.41</v>
      </c>
      <c r="U26" s="113">
        <v>218335.67</v>
      </c>
      <c r="V26" s="114">
        <f t="shared" si="5"/>
        <v>-6002.7399999999907</v>
      </c>
      <c r="W26" s="115">
        <f t="shared" si="6"/>
        <v>-2.6757522262906251E-2</v>
      </c>
      <c r="X26" s="856"/>
    </row>
    <row r="27" spans="1:24" ht="46.5" customHeight="1" x14ac:dyDescent="0.2">
      <c r="A27" s="118" t="s">
        <v>65</v>
      </c>
      <c r="B27" s="119" t="s">
        <v>66</v>
      </c>
      <c r="C27" s="120">
        <v>296273</v>
      </c>
      <c r="D27" s="308">
        <v>283792</v>
      </c>
      <c r="E27" s="308">
        <v>68527</v>
      </c>
      <c r="F27" s="120">
        <v>69726</v>
      </c>
      <c r="G27" s="121">
        <f t="shared" si="0"/>
        <v>1199</v>
      </c>
      <c r="H27" s="122">
        <f t="shared" si="1"/>
        <v>1.7496753104615698E-2</v>
      </c>
      <c r="I27" s="123"/>
      <c r="J27" s="308">
        <v>139178</v>
      </c>
      <c r="K27" s="120">
        <v>142298</v>
      </c>
      <c r="L27" s="121">
        <f t="shared" si="7"/>
        <v>3120</v>
      </c>
      <c r="M27" s="122">
        <f t="shared" si="2"/>
        <v>2.2417336073229963E-2</v>
      </c>
      <c r="N27" s="123"/>
      <c r="O27" s="308">
        <v>213088</v>
      </c>
      <c r="P27" s="308">
        <v>216903</v>
      </c>
      <c r="Q27" s="121">
        <f t="shared" si="3"/>
        <v>3815</v>
      </c>
      <c r="R27" s="122">
        <f t="shared" si="4"/>
        <v>1.7903401411623367E-2</v>
      </c>
      <c r="S27" s="123"/>
      <c r="T27" s="120">
        <v>283792</v>
      </c>
      <c r="U27" s="120">
        <v>294972</v>
      </c>
      <c r="V27" s="121">
        <f t="shared" si="5"/>
        <v>11180</v>
      </c>
      <c r="W27" s="122">
        <f t="shared" si="6"/>
        <v>3.939504989569826E-2</v>
      </c>
      <c r="X27" s="772"/>
    </row>
    <row r="28" spans="1:24" ht="46.5" customHeight="1" x14ac:dyDescent="0.2">
      <c r="A28" s="118" t="s">
        <v>67</v>
      </c>
      <c r="B28" s="119" t="s">
        <v>68</v>
      </c>
      <c r="C28" s="120">
        <v>332132.00999999989</v>
      </c>
      <c r="D28" s="308">
        <v>331373.16999999993</v>
      </c>
      <c r="E28" s="308">
        <v>82879</v>
      </c>
      <c r="F28" s="120">
        <v>80851.89</v>
      </c>
      <c r="G28" s="121">
        <f t="shared" si="0"/>
        <v>-2027.1100000000006</v>
      </c>
      <c r="H28" s="122">
        <f t="shared" si="1"/>
        <v>-2.4458668661542737E-2</v>
      </c>
      <c r="I28" s="123"/>
      <c r="J28" s="308">
        <v>168479.01</v>
      </c>
      <c r="K28" s="120">
        <v>155076.57999999999</v>
      </c>
      <c r="L28" s="121">
        <f t="shared" si="7"/>
        <v>-13402.430000000022</v>
      </c>
      <c r="M28" s="122">
        <f t="shared" si="2"/>
        <v>-7.9549553383534366E-2</v>
      </c>
      <c r="N28" s="123"/>
      <c r="O28" s="308">
        <v>254050.11</v>
      </c>
      <c r="P28" s="308">
        <v>240983.64</v>
      </c>
      <c r="Q28" s="121">
        <f t="shared" si="3"/>
        <v>-13066.469999999972</v>
      </c>
      <c r="R28" s="122">
        <f t="shared" si="4"/>
        <v>-5.1432648464509512E-2</v>
      </c>
      <c r="S28" s="123"/>
      <c r="T28" s="120">
        <v>331373.16999999993</v>
      </c>
      <c r="U28" s="120">
        <v>318116.84000000003</v>
      </c>
      <c r="V28" s="121">
        <f t="shared" si="5"/>
        <v>-13256.3299999999</v>
      </c>
      <c r="W28" s="122">
        <f t="shared" si="6"/>
        <v>-4.0004234500940143E-2</v>
      </c>
      <c r="X28" s="772"/>
    </row>
    <row r="29" spans="1:24" ht="46.5" customHeight="1" x14ac:dyDescent="0.2">
      <c r="A29" s="118" t="s">
        <v>69</v>
      </c>
      <c r="B29" s="119" t="s">
        <v>70</v>
      </c>
      <c r="C29" s="120">
        <v>0</v>
      </c>
      <c r="D29" s="308">
        <v>0</v>
      </c>
      <c r="E29" s="308">
        <v>0</v>
      </c>
      <c r="F29" s="120"/>
      <c r="G29" s="121">
        <f t="shared" si="0"/>
        <v>0</v>
      </c>
      <c r="H29" s="122" t="str">
        <f t="shared" si="1"/>
        <v>-</v>
      </c>
      <c r="I29" s="123"/>
      <c r="J29" s="308">
        <v>0</v>
      </c>
      <c r="K29" s="120"/>
      <c r="L29" s="121">
        <f t="shared" si="7"/>
        <v>0</v>
      </c>
      <c r="M29" s="122" t="str">
        <f t="shared" si="2"/>
        <v>-</v>
      </c>
      <c r="N29" s="123"/>
      <c r="O29" s="308">
        <v>0</v>
      </c>
      <c r="P29" s="308"/>
      <c r="Q29" s="121">
        <f t="shared" si="3"/>
        <v>0</v>
      </c>
      <c r="R29" s="122" t="str">
        <f t="shared" si="4"/>
        <v>-</v>
      </c>
      <c r="S29" s="123"/>
      <c r="T29" s="120">
        <v>0</v>
      </c>
      <c r="U29" s="120"/>
      <c r="V29" s="121">
        <f t="shared" si="5"/>
        <v>0</v>
      </c>
      <c r="W29" s="122" t="str">
        <f t="shared" si="6"/>
        <v>-</v>
      </c>
      <c r="X29" s="772"/>
    </row>
    <row r="30" spans="1:24" s="2" customFormat="1" ht="46.5" customHeight="1" x14ac:dyDescent="0.2">
      <c r="A30" s="118" t="s">
        <v>71</v>
      </c>
      <c r="B30" s="124" t="s">
        <v>72</v>
      </c>
      <c r="C30" s="120">
        <v>159247</v>
      </c>
      <c r="D30" s="308">
        <v>154566</v>
      </c>
      <c r="E30" s="308">
        <v>37696</v>
      </c>
      <c r="F30" s="120">
        <v>37696</v>
      </c>
      <c r="G30" s="121">
        <f t="shared" si="0"/>
        <v>0</v>
      </c>
      <c r="H30" s="122">
        <f t="shared" si="1"/>
        <v>0</v>
      </c>
      <c r="I30" s="123"/>
      <c r="J30" s="308">
        <v>77407</v>
      </c>
      <c r="K30" s="120">
        <v>75268</v>
      </c>
      <c r="L30" s="121">
        <f t="shared" si="7"/>
        <v>-2139</v>
      </c>
      <c r="M30" s="122">
        <f t="shared" si="2"/>
        <v>-2.76331597917501E-2</v>
      </c>
      <c r="N30" s="123"/>
      <c r="O30" s="308">
        <v>115940</v>
      </c>
      <c r="P30" s="308">
        <v>114669</v>
      </c>
      <c r="Q30" s="121">
        <f t="shared" si="3"/>
        <v>-1271</v>
      </c>
      <c r="R30" s="122">
        <f t="shared" si="4"/>
        <v>-1.0962566844919787E-2</v>
      </c>
      <c r="S30" s="123"/>
      <c r="T30" s="120">
        <v>154566</v>
      </c>
      <c r="U30" s="120">
        <v>154628</v>
      </c>
      <c r="V30" s="121">
        <f t="shared" si="5"/>
        <v>62</v>
      </c>
      <c r="W30" s="122">
        <f t="shared" si="6"/>
        <v>4.0112314480545525E-4</v>
      </c>
      <c r="X30" s="772"/>
    </row>
    <row r="31" spans="1:24" s="2" customFormat="1" ht="46.5" customHeight="1" x14ac:dyDescent="0.2">
      <c r="A31" s="125" t="s">
        <v>73</v>
      </c>
      <c r="B31" s="126" t="s">
        <v>74</v>
      </c>
      <c r="C31" s="127">
        <v>444439.51</v>
      </c>
      <c r="D31" s="309">
        <v>505626.66000000003</v>
      </c>
      <c r="E31" s="309">
        <v>127959.66</v>
      </c>
      <c r="F31" s="127">
        <f>2070.97+125888.55</f>
        <v>127959.52</v>
      </c>
      <c r="G31" s="128">
        <f t="shared" si="0"/>
        <v>-0.13999999999941792</v>
      </c>
      <c r="H31" s="129">
        <f t="shared" si="1"/>
        <v>-1.0940948108131729E-6</v>
      </c>
      <c r="I31" s="123" t="s">
        <v>75</v>
      </c>
      <c r="J31" s="309">
        <v>253848.66</v>
      </c>
      <c r="K31" s="127">
        <f>251777.1+5430.82+1562.4-41.88+688.64</f>
        <v>259417.08000000002</v>
      </c>
      <c r="L31" s="128">
        <f t="shared" si="7"/>
        <v>5568.4200000000128</v>
      </c>
      <c r="M31" s="129">
        <f t="shared" si="2"/>
        <v>2.1935983432018167E-2</v>
      </c>
      <c r="N31" s="123"/>
      <c r="O31" s="309">
        <v>379737.66000000003</v>
      </c>
      <c r="P31" s="309">
        <f>377665.65+1562.4+5430.82-41.88</f>
        <v>384616.99000000005</v>
      </c>
      <c r="Q31" s="128">
        <f t="shared" si="3"/>
        <v>4879.3300000000163</v>
      </c>
      <c r="R31" s="129">
        <f t="shared" si="4"/>
        <v>1.2849212796012952E-2</v>
      </c>
      <c r="S31" s="123"/>
      <c r="T31" s="127">
        <v>505626.66000000003</v>
      </c>
      <c r="U31" s="127">
        <f>544909.71+142151.37</f>
        <v>687061.08</v>
      </c>
      <c r="V31" s="128">
        <f t="shared" si="5"/>
        <v>181434.41999999993</v>
      </c>
      <c r="W31" s="129">
        <f t="shared" si="6"/>
        <v>0.35883080215746516</v>
      </c>
      <c r="X31" s="767" t="s">
        <v>76</v>
      </c>
    </row>
    <row r="32" spans="1:24" ht="46.5" customHeight="1" x14ac:dyDescent="0.2">
      <c r="A32" s="266" t="s">
        <v>77</v>
      </c>
      <c r="B32" s="267" t="s">
        <v>78</v>
      </c>
      <c r="C32" s="268">
        <v>29679351.249999996</v>
      </c>
      <c r="D32" s="303">
        <v>30192902.380000003</v>
      </c>
      <c r="E32" s="303">
        <v>7339111.5100000007</v>
      </c>
      <c r="F32" s="268">
        <f>F33+F58+F140</f>
        <v>7408860.790000001</v>
      </c>
      <c r="G32" s="269">
        <f t="shared" si="0"/>
        <v>69749.280000000261</v>
      </c>
      <c r="H32" s="270">
        <f t="shared" si="1"/>
        <v>9.503777113205391E-3</v>
      </c>
      <c r="I32" s="271"/>
      <c r="J32" s="303">
        <v>14817175.360000001</v>
      </c>
      <c r="K32" s="268">
        <f>K33+K58+K140</f>
        <v>15427185.880000003</v>
      </c>
      <c r="L32" s="269">
        <f t="shared" si="7"/>
        <v>610010.52000000142</v>
      </c>
      <c r="M32" s="270">
        <f t="shared" si="2"/>
        <v>4.1169150339326305E-2</v>
      </c>
      <c r="N32" s="271"/>
      <c r="O32" s="303">
        <v>22347764.710000001</v>
      </c>
      <c r="P32" s="303">
        <f>P33+P58+P140</f>
        <v>23249529.300000001</v>
      </c>
      <c r="Q32" s="269">
        <f t="shared" si="3"/>
        <v>901764.58999999985</v>
      </c>
      <c r="R32" s="270">
        <f t="shared" si="4"/>
        <v>4.0351444616583305E-2</v>
      </c>
      <c r="S32" s="271"/>
      <c r="T32" s="268">
        <v>30192902.380000003</v>
      </c>
      <c r="U32" s="268">
        <f>U33+U58+U140</f>
        <v>31542976.469999999</v>
      </c>
      <c r="V32" s="269">
        <f t="shared" si="5"/>
        <v>1350074.0899999961</v>
      </c>
      <c r="W32" s="270">
        <f t="shared" si="6"/>
        <v>4.4714948997228401E-2</v>
      </c>
      <c r="X32" s="769"/>
    </row>
    <row r="33" spans="1:24" s="2" customFormat="1" ht="46.5" customHeight="1" x14ac:dyDescent="0.2">
      <c r="A33" s="238" t="s">
        <v>79</v>
      </c>
      <c r="B33" s="248" t="s">
        <v>80</v>
      </c>
      <c r="C33" s="304">
        <v>18122414.119999997</v>
      </c>
      <c r="D33" s="304">
        <v>18802065.159999996</v>
      </c>
      <c r="E33" s="304">
        <v>4591823.2300000004</v>
      </c>
      <c r="F33" s="239">
        <f>F34+F50</f>
        <v>4553170.24</v>
      </c>
      <c r="G33" s="240">
        <f t="shared" si="0"/>
        <v>-38652.990000000224</v>
      </c>
      <c r="H33" s="241">
        <f t="shared" si="1"/>
        <v>-8.417787023565413E-3</v>
      </c>
      <c r="I33" s="242"/>
      <c r="J33" s="304">
        <v>9317283.9299999997</v>
      </c>
      <c r="K33" s="239">
        <f>K34+K50</f>
        <v>9552935.3300000019</v>
      </c>
      <c r="L33" s="240">
        <f t="shared" si="7"/>
        <v>235651.40000000224</v>
      </c>
      <c r="M33" s="241">
        <f t="shared" si="2"/>
        <v>2.5291855627716419E-2</v>
      </c>
      <c r="N33" s="242"/>
      <c r="O33" s="304">
        <v>13959531.019999998</v>
      </c>
      <c r="P33" s="304">
        <f>P34+P50</f>
        <v>14438420.33</v>
      </c>
      <c r="Q33" s="240">
        <f t="shared" si="3"/>
        <v>478889.31000000238</v>
      </c>
      <c r="R33" s="241">
        <f t="shared" si="4"/>
        <v>3.4305544313336288E-2</v>
      </c>
      <c r="S33" s="242"/>
      <c r="T33" s="239">
        <v>18802065.159999996</v>
      </c>
      <c r="U33" s="239">
        <f>U34+U50</f>
        <v>19647616.460000001</v>
      </c>
      <c r="V33" s="240">
        <f>U33-T33</f>
        <v>845551.30000000447</v>
      </c>
      <c r="W33" s="241">
        <f t="shared" si="6"/>
        <v>4.4971192941020775E-2</v>
      </c>
      <c r="X33" s="770"/>
    </row>
    <row r="34" spans="1:24" s="2" customFormat="1" ht="46.5" customHeight="1" x14ac:dyDescent="0.2">
      <c r="A34" s="99">
        <v>1100</v>
      </c>
      <c r="B34" s="100" t="s">
        <v>81</v>
      </c>
      <c r="C34" s="305">
        <v>14500168.48</v>
      </c>
      <c r="D34" s="305">
        <v>14927078.230000002</v>
      </c>
      <c r="E34" s="305">
        <v>3645850.91</v>
      </c>
      <c r="F34" s="305">
        <f>F35+F39+F48</f>
        <v>3622966.7</v>
      </c>
      <c r="G34" s="146">
        <f t="shared" si="0"/>
        <v>-22884.209999999963</v>
      </c>
      <c r="H34" s="147">
        <f t="shared" si="1"/>
        <v>-6.2767816251707237E-3</v>
      </c>
      <c r="I34" s="295"/>
      <c r="J34" s="305">
        <v>7395026.7400000012</v>
      </c>
      <c r="K34" s="305">
        <f>K35+K39+K48</f>
        <v>7632258.3400000008</v>
      </c>
      <c r="L34" s="146">
        <f t="shared" si="7"/>
        <v>237231.59999999963</v>
      </c>
      <c r="M34" s="147">
        <f t="shared" si="2"/>
        <v>3.2079884000527574E-2</v>
      </c>
      <c r="N34" s="295"/>
      <c r="O34" s="305">
        <v>11060948.960000001</v>
      </c>
      <c r="P34" s="305">
        <f>P35+P39+P48</f>
        <v>11550799.92</v>
      </c>
      <c r="Q34" s="146">
        <f t="shared" si="3"/>
        <v>489850.95999999903</v>
      </c>
      <c r="R34" s="147">
        <f t="shared" si="4"/>
        <v>4.4286522049008625E-2</v>
      </c>
      <c r="S34" s="295"/>
      <c r="T34" s="145">
        <v>14927078.230000002</v>
      </c>
      <c r="U34" s="145">
        <f>U35+U39+U48</f>
        <v>15727466.359999999</v>
      </c>
      <c r="V34" s="146">
        <f t="shared" si="5"/>
        <v>800388.12999999709</v>
      </c>
      <c r="W34" s="147">
        <f t="shared" si="6"/>
        <v>5.361987909940745E-2</v>
      </c>
      <c r="X34" s="773"/>
    </row>
    <row r="35" spans="1:24" ht="46.5" customHeight="1" x14ac:dyDescent="0.2">
      <c r="A35" s="130">
        <v>1110</v>
      </c>
      <c r="B35" s="131" t="s">
        <v>82</v>
      </c>
      <c r="C35" s="310">
        <v>10729198.700000001</v>
      </c>
      <c r="D35" s="310">
        <v>11129378.83</v>
      </c>
      <c r="E35" s="310">
        <v>2735636.83</v>
      </c>
      <c r="F35" s="438">
        <f>F36+F37+F38</f>
        <v>2706709.95</v>
      </c>
      <c r="G35" s="114">
        <f t="shared" si="0"/>
        <v>-28926.879999999888</v>
      </c>
      <c r="H35" s="115">
        <f t="shared" si="1"/>
        <v>-1.0574093638006725E-2</v>
      </c>
      <c r="I35" s="895" t="s">
        <v>83</v>
      </c>
      <c r="J35" s="310">
        <v>5533550.8300000001</v>
      </c>
      <c r="K35" s="310">
        <f>K36+K37+K38</f>
        <v>5554320.29</v>
      </c>
      <c r="L35" s="114">
        <f t="shared" si="7"/>
        <v>20769.459999999963</v>
      </c>
      <c r="M35" s="115">
        <f t="shared" si="2"/>
        <v>3.7533693351832756E-3</v>
      </c>
      <c r="N35" s="853"/>
      <c r="O35" s="310">
        <v>8331464.8300000001</v>
      </c>
      <c r="P35" s="310">
        <f>P36+P37+P38</f>
        <v>8494525.1199999992</v>
      </c>
      <c r="Q35" s="114">
        <f t="shared" si="3"/>
        <v>163060.28999999911</v>
      </c>
      <c r="R35" s="115">
        <f t="shared" si="4"/>
        <v>1.9571623157172844E-2</v>
      </c>
      <c r="S35" s="853"/>
      <c r="T35" s="766">
        <v>11129378.83</v>
      </c>
      <c r="U35" s="766">
        <f>U36+U37+U38</f>
        <v>11373049.99</v>
      </c>
      <c r="V35" s="114">
        <f t="shared" si="5"/>
        <v>243671.16000000015</v>
      </c>
      <c r="W35" s="115">
        <f t="shared" si="6"/>
        <v>2.1894407919979139E-2</v>
      </c>
      <c r="X35" s="871" t="s">
        <v>84</v>
      </c>
    </row>
    <row r="36" spans="1:24" ht="46.5" customHeight="1" x14ac:dyDescent="0.2">
      <c r="A36" s="243">
        <v>1111</v>
      </c>
      <c r="B36" s="132" t="s">
        <v>85</v>
      </c>
      <c r="C36" s="307">
        <v>158133</v>
      </c>
      <c r="D36" s="307">
        <v>108530</v>
      </c>
      <c r="E36" s="307">
        <v>23889.78</v>
      </c>
      <c r="F36" s="117">
        <v>32353.78</v>
      </c>
      <c r="G36" s="114">
        <f t="shared" si="0"/>
        <v>8464</v>
      </c>
      <c r="H36" s="115">
        <f t="shared" si="1"/>
        <v>0.35429376076297064</v>
      </c>
      <c r="I36" s="895"/>
      <c r="J36" s="306">
        <v>57746</v>
      </c>
      <c r="K36" s="113">
        <v>57745.78</v>
      </c>
      <c r="L36" s="114">
        <f t="shared" si="7"/>
        <v>-0.22000000000116415</v>
      </c>
      <c r="M36" s="115">
        <f t="shared" si="2"/>
        <v>-3.8097876909424749E-6</v>
      </c>
      <c r="N36" s="853"/>
      <c r="O36" s="306">
        <v>83138</v>
      </c>
      <c r="P36" s="306">
        <f>82220.52+917.26</f>
        <v>83137.78</v>
      </c>
      <c r="Q36" s="114">
        <f t="shared" si="3"/>
        <v>-0.22000000000116415</v>
      </c>
      <c r="R36" s="115">
        <f t="shared" si="4"/>
        <v>-2.6462026991407556E-6</v>
      </c>
      <c r="S36" s="853"/>
      <c r="T36" s="117">
        <v>108530</v>
      </c>
      <c r="U36" s="113">
        <v>125041.17</v>
      </c>
      <c r="V36" s="114">
        <f t="shared" si="5"/>
        <v>16511.169999999998</v>
      </c>
      <c r="W36" s="115">
        <f t="shared" si="6"/>
        <v>0.15213461715654655</v>
      </c>
      <c r="X36" s="871"/>
    </row>
    <row r="37" spans="1:24" ht="46.5" customHeight="1" x14ac:dyDescent="0.2">
      <c r="A37" s="243">
        <v>1112</v>
      </c>
      <c r="B37" s="132" t="s">
        <v>86</v>
      </c>
      <c r="C37" s="306">
        <v>0</v>
      </c>
      <c r="D37" s="306">
        <v>0</v>
      </c>
      <c r="E37" s="307">
        <v>0</v>
      </c>
      <c r="F37" s="117"/>
      <c r="G37" s="114"/>
      <c r="H37" s="115"/>
      <c r="I37" s="895"/>
      <c r="J37" s="306">
        <v>0</v>
      </c>
      <c r="K37" s="113"/>
      <c r="L37" s="114"/>
      <c r="M37" s="115"/>
      <c r="N37" s="853"/>
      <c r="O37" s="306">
        <v>0</v>
      </c>
      <c r="P37" s="306"/>
      <c r="Q37" s="114"/>
      <c r="R37" s="115"/>
      <c r="S37" s="853"/>
      <c r="T37" s="113">
        <v>0</v>
      </c>
      <c r="U37" s="113"/>
      <c r="V37" s="114"/>
      <c r="W37" s="115"/>
      <c r="X37" s="871"/>
    </row>
    <row r="38" spans="1:24" ht="46.5" customHeight="1" x14ac:dyDescent="0.2">
      <c r="A38" s="243">
        <v>1113</v>
      </c>
      <c r="B38" s="132" t="s">
        <v>87</v>
      </c>
      <c r="C38" s="307">
        <f>10729198.7-C36</f>
        <v>10571065.699999999</v>
      </c>
      <c r="D38" s="306">
        <v>11020849</v>
      </c>
      <c r="E38" s="307">
        <v>2711747.05</v>
      </c>
      <c r="F38" s="117">
        <f>2706709.95-F36</f>
        <v>2674356.1700000004</v>
      </c>
      <c r="G38" s="114">
        <f t="shared" si="0"/>
        <v>-37390.879999999423</v>
      </c>
      <c r="H38" s="115">
        <f t="shared" si="1"/>
        <v>-1.3788483700940848E-2</v>
      </c>
      <c r="I38" s="895"/>
      <c r="J38" s="306">
        <v>5475805</v>
      </c>
      <c r="K38" s="113">
        <f>5554320.29-K36</f>
        <v>5496574.5099999998</v>
      </c>
      <c r="L38" s="114">
        <f t="shared" si="7"/>
        <v>20769.509999999776</v>
      </c>
      <c r="M38" s="115">
        <f t="shared" si="2"/>
        <v>3.7929601218450576E-3</v>
      </c>
      <c r="N38" s="853"/>
      <c r="O38" s="306">
        <v>8248327</v>
      </c>
      <c r="P38" s="306">
        <f>8494525.12-82220.52-917.26</f>
        <v>8411387.3399999999</v>
      </c>
      <c r="Q38" s="114">
        <f t="shared" si="3"/>
        <v>163060.33999999985</v>
      </c>
      <c r="R38" s="115">
        <f t="shared" si="4"/>
        <v>1.9768898589980714E-2</v>
      </c>
      <c r="S38" s="853"/>
      <c r="T38" s="113">
        <v>11020849</v>
      </c>
      <c r="U38" s="113">
        <f>11373049.99-U36</f>
        <v>11248008.82</v>
      </c>
      <c r="V38" s="114">
        <f t="shared" si="5"/>
        <v>227159.8200000003</v>
      </c>
      <c r="W38" s="115">
        <f t="shared" si="6"/>
        <v>2.0611825822130427E-2</v>
      </c>
      <c r="X38" s="871"/>
    </row>
    <row r="39" spans="1:24" s="244" customFormat="1" ht="46.5" customHeight="1" x14ac:dyDescent="0.2">
      <c r="A39" s="130">
        <v>1140</v>
      </c>
      <c r="B39" s="136" t="s">
        <v>88</v>
      </c>
      <c r="C39" s="312">
        <v>3688304.4000000008</v>
      </c>
      <c r="D39" s="311">
        <v>3719108.3400000008</v>
      </c>
      <c r="E39" s="311">
        <v>896709.43</v>
      </c>
      <c r="F39" s="311">
        <f>F40+F41+F42+F43+F44+F45+F46+F47</f>
        <v>883920.14999999991</v>
      </c>
      <c r="G39" s="121">
        <f t="shared" si="0"/>
        <v>-12789.280000000144</v>
      </c>
      <c r="H39" s="122">
        <f t="shared" si="1"/>
        <v>-1.4262457349199667E-2</v>
      </c>
      <c r="I39" s="896"/>
      <c r="J39" s="311">
        <v>1825729.0100000002</v>
      </c>
      <c r="K39" s="311">
        <f>K40+K41+K42+K43+K44+K45+K46+K47</f>
        <v>1997393.7300000002</v>
      </c>
      <c r="L39" s="121">
        <f t="shared" si="7"/>
        <v>171664.71999999997</v>
      </c>
      <c r="M39" s="122">
        <f t="shared" si="2"/>
        <v>9.4025301159014807E-2</v>
      </c>
      <c r="N39" s="872" t="s">
        <v>89</v>
      </c>
      <c r="O39" s="311">
        <v>2678372.1700000004</v>
      </c>
      <c r="P39" s="311">
        <f>P40+P41+P42+P43+P44+P45+P46+P47</f>
        <v>2911588.29</v>
      </c>
      <c r="Q39" s="121">
        <f t="shared" si="3"/>
        <v>233216.11999999965</v>
      </c>
      <c r="R39" s="122">
        <f t="shared" si="4"/>
        <v>8.7073828877186857E-2</v>
      </c>
      <c r="S39" s="872" t="s">
        <v>89</v>
      </c>
      <c r="T39" s="247">
        <v>3719108.3400000008</v>
      </c>
      <c r="U39" s="247">
        <f>U40+U41+U42+U43+U44+U45+U46+U47</f>
        <v>4158101.5599999991</v>
      </c>
      <c r="V39" s="121">
        <f t="shared" si="5"/>
        <v>438993.21999999834</v>
      </c>
      <c r="W39" s="122">
        <f t="shared" si="6"/>
        <v>0.11803722286831747</v>
      </c>
      <c r="X39" s="854" t="s">
        <v>90</v>
      </c>
    </row>
    <row r="40" spans="1:24" s="2" customFormat="1" ht="46.5" customHeight="1" x14ac:dyDescent="0.2">
      <c r="A40" s="243">
        <v>1141</v>
      </c>
      <c r="B40" s="133" t="s">
        <v>91</v>
      </c>
      <c r="C40" s="307">
        <v>657997.79</v>
      </c>
      <c r="D40" s="306">
        <v>661898.52</v>
      </c>
      <c r="E40" s="306">
        <v>166614.81</v>
      </c>
      <c r="F40" s="113">
        <v>164158.1</v>
      </c>
      <c r="G40" s="114">
        <f t="shared" si="0"/>
        <v>-2456.7099999999919</v>
      </c>
      <c r="H40" s="115">
        <f t="shared" si="1"/>
        <v>-1.4744847711917038E-2</v>
      </c>
      <c r="I40" s="897"/>
      <c r="J40" s="306">
        <v>333135.71000000002</v>
      </c>
      <c r="K40" s="113">
        <v>341063.38</v>
      </c>
      <c r="L40" s="114">
        <f t="shared" si="7"/>
        <v>7927.6699999999837</v>
      </c>
      <c r="M40" s="115">
        <f t="shared" si="2"/>
        <v>2.379711859770297E-2</v>
      </c>
      <c r="N40" s="873"/>
      <c r="O40" s="306">
        <v>489947.33000000007</v>
      </c>
      <c r="P40" s="306">
        <v>509023.96</v>
      </c>
      <c r="Q40" s="114">
        <f t="shared" si="3"/>
        <v>19076.629999999946</v>
      </c>
      <c r="R40" s="115">
        <f t="shared" si="4"/>
        <v>3.89360831908196E-2</v>
      </c>
      <c r="S40" s="873"/>
      <c r="T40" s="113">
        <v>661898.52</v>
      </c>
      <c r="U40" s="113">
        <v>703353.88</v>
      </c>
      <c r="V40" s="114">
        <f t="shared" si="5"/>
        <v>41455.359999999986</v>
      </c>
      <c r="W40" s="115">
        <f t="shared" si="6"/>
        <v>6.2630990623759042E-2</v>
      </c>
      <c r="X40" s="855"/>
    </row>
    <row r="41" spans="1:24" s="2" customFormat="1" ht="46.5" customHeight="1" x14ac:dyDescent="0.2">
      <c r="A41" s="243">
        <v>1142</v>
      </c>
      <c r="B41" s="133" t="s">
        <v>92</v>
      </c>
      <c r="C41" s="307">
        <v>890370.53</v>
      </c>
      <c r="D41" s="306">
        <v>890753.46</v>
      </c>
      <c r="E41" s="306">
        <v>213426.59</v>
      </c>
      <c r="F41" s="113">
        <v>191110.14</v>
      </c>
      <c r="G41" s="114">
        <f t="shared" si="0"/>
        <v>-22316.449999999983</v>
      </c>
      <c r="H41" s="115">
        <f t="shared" si="1"/>
        <v>-0.10456265079248084</v>
      </c>
      <c r="I41" s="897"/>
      <c r="J41" s="306">
        <v>456538.07</v>
      </c>
      <c r="K41" s="113">
        <v>501777.09</v>
      </c>
      <c r="L41" s="114">
        <f t="shared" si="7"/>
        <v>45239.020000000019</v>
      </c>
      <c r="M41" s="115">
        <f t="shared" si="2"/>
        <v>9.9091451453325721E-2</v>
      </c>
      <c r="N41" s="873"/>
      <c r="O41" s="306">
        <v>638016.22000000009</v>
      </c>
      <c r="P41" s="306">
        <v>694445.39</v>
      </c>
      <c r="Q41" s="114">
        <f t="shared" si="3"/>
        <v>56429.169999999925</v>
      </c>
      <c r="R41" s="115">
        <f t="shared" si="4"/>
        <v>8.8444726373884217E-2</v>
      </c>
      <c r="S41" s="873"/>
      <c r="T41" s="113">
        <v>890753.46000000008</v>
      </c>
      <c r="U41" s="113">
        <v>965559.83</v>
      </c>
      <c r="V41" s="114">
        <f t="shared" si="5"/>
        <v>74806.369999999879</v>
      </c>
      <c r="W41" s="115">
        <f t="shared" si="6"/>
        <v>8.3981004126551323E-2</v>
      </c>
      <c r="X41" s="855"/>
    </row>
    <row r="42" spans="1:24" s="2" customFormat="1" ht="46.5" customHeight="1" x14ac:dyDescent="0.2">
      <c r="A42" s="243">
        <v>1144</v>
      </c>
      <c r="B42" s="133" t="s">
        <v>93</v>
      </c>
      <c r="C42" s="414">
        <v>0</v>
      </c>
      <c r="D42" s="306">
        <v>0</v>
      </c>
      <c r="E42" s="306">
        <v>0</v>
      </c>
      <c r="F42" s="113"/>
      <c r="G42" s="114">
        <f t="shared" si="0"/>
        <v>0</v>
      </c>
      <c r="H42" s="115" t="str">
        <f t="shared" si="1"/>
        <v>-</v>
      </c>
      <c r="I42" s="897"/>
      <c r="J42" s="306">
        <v>0</v>
      </c>
      <c r="K42" s="113"/>
      <c r="L42" s="114">
        <f t="shared" si="7"/>
        <v>0</v>
      </c>
      <c r="M42" s="115" t="str">
        <f t="shared" si="2"/>
        <v>-</v>
      </c>
      <c r="N42" s="873"/>
      <c r="O42" s="306">
        <v>0</v>
      </c>
      <c r="P42" s="306"/>
      <c r="Q42" s="114">
        <f t="shared" si="3"/>
        <v>0</v>
      </c>
      <c r="R42" s="115" t="str">
        <f t="shared" si="4"/>
        <v>-</v>
      </c>
      <c r="S42" s="873"/>
      <c r="T42" s="113">
        <v>0</v>
      </c>
      <c r="U42" s="113"/>
      <c r="V42" s="114">
        <f t="shared" si="5"/>
        <v>0</v>
      </c>
      <c r="W42" s="115" t="str">
        <f t="shared" si="6"/>
        <v>-</v>
      </c>
      <c r="X42" s="855"/>
    </row>
    <row r="43" spans="1:24" s="2" customFormat="1" ht="46.5" customHeight="1" x14ac:dyDescent="0.2">
      <c r="A43" s="243">
        <v>1145</v>
      </c>
      <c r="B43" s="133" t="s">
        <v>94</v>
      </c>
      <c r="C43" s="307">
        <v>1707741.92</v>
      </c>
      <c r="D43" s="306">
        <v>1728269.33</v>
      </c>
      <c r="E43" s="306">
        <v>442618.34</v>
      </c>
      <c r="F43" s="113">
        <v>451772.48</v>
      </c>
      <c r="G43" s="114">
        <f t="shared" si="0"/>
        <v>9154.1399999999558</v>
      </c>
      <c r="H43" s="115">
        <f t="shared" si="1"/>
        <v>2.0681790998538278E-2</v>
      </c>
      <c r="I43" s="897"/>
      <c r="J43" s="306">
        <v>846587.54</v>
      </c>
      <c r="K43" s="113">
        <v>974035.84</v>
      </c>
      <c r="L43" s="114">
        <f t="shared" si="7"/>
        <v>127448.29999999993</v>
      </c>
      <c r="M43" s="115">
        <f t="shared" si="2"/>
        <v>0.15054355749199891</v>
      </c>
      <c r="N43" s="873"/>
      <c r="O43" s="306">
        <v>1273683.79</v>
      </c>
      <c r="P43" s="306">
        <v>1437380.98</v>
      </c>
      <c r="Q43" s="114">
        <f t="shared" si="3"/>
        <v>163697.18999999994</v>
      </c>
      <c r="R43" s="115">
        <f t="shared" si="4"/>
        <v>0.12852262962379379</v>
      </c>
      <c r="S43" s="873"/>
      <c r="T43" s="113">
        <v>1728269.33</v>
      </c>
      <c r="U43" s="113">
        <v>2031296.43</v>
      </c>
      <c r="V43" s="114">
        <f t="shared" si="5"/>
        <v>303027.09999999986</v>
      </c>
      <c r="W43" s="115">
        <f t="shared" si="6"/>
        <v>0.17533557689182613</v>
      </c>
      <c r="X43" s="855"/>
    </row>
    <row r="44" spans="1:24" s="2" customFormat="1" ht="46.5" customHeight="1" x14ac:dyDescent="0.2">
      <c r="A44" s="243">
        <v>1146</v>
      </c>
      <c r="B44" s="133" t="s">
        <v>95</v>
      </c>
      <c r="C44" s="307">
        <v>88006.719999999987</v>
      </c>
      <c r="D44" s="306">
        <v>86050.409999999989</v>
      </c>
      <c r="E44" s="306">
        <v>19331.47</v>
      </c>
      <c r="F44" s="113">
        <v>18414.689999999999</v>
      </c>
      <c r="G44" s="114">
        <f t="shared" si="0"/>
        <v>-916.78000000000247</v>
      </c>
      <c r="H44" s="115">
        <f t="shared" si="1"/>
        <v>-4.7424225886598503E-2</v>
      </c>
      <c r="I44" s="897"/>
      <c r="J44" s="306">
        <v>42511.659999999996</v>
      </c>
      <c r="K44" s="113">
        <v>39206.089999999997</v>
      </c>
      <c r="L44" s="114">
        <f t="shared" si="7"/>
        <v>-3305.5699999999997</v>
      </c>
      <c r="M44" s="115">
        <f t="shared" si="2"/>
        <v>-7.7756784844440319E-2</v>
      </c>
      <c r="N44" s="873"/>
      <c r="O44" s="306">
        <v>63632.62999999999</v>
      </c>
      <c r="P44" s="306">
        <v>62154.18</v>
      </c>
      <c r="Q44" s="114">
        <f t="shared" si="3"/>
        <v>-1478.4499999999898</v>
      </c>
      <c r="R44" s="115">
        <f t="shared" si="4"/>
        <v>-2.3234148894992868E-2</v>
      </c>
      <c r="S44" s="873"/>
      <c r="T44" s="113">
        <v>86050.409999999989</v>
      </c>
      <c r="U44" s="113">
        <v>85799.98</v>
      </c>
      <c r="V44" s="114">
        <f t="shared" si="5"/>
        <v>-250.42999999999302</v>
      </c>
      <c r="W44" s="115">
        <f t="shared" si="6"/>
        <v>-2.9102708517018462E-3</v>
      </c>
      <c r="X44" s="855"/>
    </row>
    <row r="45" spans="1:24" s="2" customFormat="1" ht="46.5" customHeight="1" x14ac:dyDescent="0.2">
      <c r="A45" s="243">
        <v>1147</v>
      </c>
      <c r="B45" s="133" t="s">
        <v>96</v>
      </c>
      <c r="C45" s="307">
        <v>72659.19</v>
      </c>
      <c r="D45" s="306">
        <v>76333.63</v>
      </c>
      <c r="E45" s="306">
        <v>21361.46</v>
      </c>
      <c r="F45" s="113">
        <v>23870.15</v>
      </c>
      <c r="G45" s="114">
        <f t="shared" si="0"/>
        <v>2508.6900000000023</v>
      </c>
      <c r="H45" s="115">
        <f t="shared" si="1"/>
        <v>0.11744000644150739</v>
      </c>
      <c r="I45" s="897"/>
      <c r="J45" s="306">
        <v>37837.449999999997</v>
      </c>
      <c r="K45" s="113">
        <v>48579.839999999997</v>
      </c>
      <c r="L45" s="114">
        <f t="shared" si="7"/>
        <v>10742.39</v>
      </c>
      <c r="M45" s="115">
        <f t="shared" si="2"/>
        <v>0.28390893149511925</v>
      </c>
      <c r="N45" s="873"/>
      <c r="O45" s="306">
        <v>54237.01</v>
      </c>
      <c r="P45" s="306">
        <v>71464.509999999995</v>
      </c>
      <c r="Q45" s="114">
        <f t="shared" si="3"/>
        <v>17227.499999999993</v>
      </c>
      <c r="R45" s="115">
        <f t="shared" si="4"/>
        <v>0.31763366011511313</v>
      </c>
      <c r="S45" s="873"/>
      <c r="T45" s="113">
        <v>76333.63</v>
      </c>
      <c r="U45" s="113">
        <v>107328.76</v>
      </c>
      <c r="V45" s="114">
        <f t="shared" si="5"/>
        <v>30995.12999999999</v>
      </c>
      <c r="W45" s="115">
        <f t="shared" si="6"/>
        <v>0.40604815990016441</v>
      </c>
      <c r="X45" s="855"/>
    </row>
    <row r="46" spans="1:24" s="2" customFormat="1" ht="46.5" customHeight="1" x14ac:dyDescent="0.2">
      <c r="A46" s="243">
        <v>1148</v>
      </c>
      <c r="B46" s="133" t="s">
        <v>97</v>
      </c>
      <c r="C46" s="307">
        <v>130589.22</v>
      </c>
      <c r="D46" s="306">
        <v>130589.22</v>
      </c>
      <c r="E46" s="306">
        <v>0</v>
      </c>
      <c r="F46" s="113"/>
      <c r="G46" s="114">
        <f t="shared" si="0"/>
        <v>0</v>
      </c>
      <c r="H46" s="115" t="str">
        <f t="shared" si="1"/>
        <v>-</v>
      </c>
      <c r="I46" s="897"/>
      <c r="J46" s="306">
        <v>43622.74</v>
      </c>
      <c r="K46" s="113">
        <v>23558.05</v>
      </c>
      <c r="L46" s="114">
        <f t="shared" si="7"/>
        <v>-20064.689999999999</v>
      </c>
      <c r="M46" s="115">
        <f t="shared" si="2"/>
        <v>-0.45995941566256499</v>
      </c>
      <c r="N46" s="873"/>
      <c r="O46" s="306">
        <v>51410.619999999995</v>
      </c>
      <c r="P46" s="306">
        <v>27438.05</v>
      </c>
      <c r="Q46" s="114">
        <f t="shared" si="3"/>
        <v>-23972.569999999996</v>
      </c>
      <c r="R46" s="115">
        <f t="shared" si="4"/>
        <v>-0.46629606878890001</v>
      </c>
      <c r="S46" s="873"/>
      <c r="T46" s="113">
        <v>130589.22</v>
      </c>
      <c r="U46" s="113">
        <v>113763.05</v>
      </c>
      <c r="V46" s="114">
        <f t="shared" si="5"/>
        <v>-16826.169999999998</v>
      </c>
      <c r="W46" s="115">
        <f t="shared" si="6"/>
        <v>-0.12884807796539408</v>
      </c>
      <c r="X46" s="855"/>
    </row>
    <row r="47" spans="1:24" s="2" customFormat="1" ht="46.5" customHeight="1" x14ac:dyDescent="0.2">
      <c r="A47" s="243">
        <v>1149</v>
      </c>
      <c r="B47" s="133" t="s">
        <v>98</v>
      </c>
      <c r="C47" s="307">
        <v>140939.03</v>
      </c>
      <c r="D47" s="307">
        <v>145213.76999999999</v>
      </c>
      <c r="E47" s="307">
        <v>33356.759999999995</v>
      </c>
      <c r="F47" s="113">
        <v>34594.589999999997</v>
      </c>
      <c r="G47" s="134">
        <f t="shared" si="0"/>
        <v>1237.8300000000017</v>
      </c>
      <c r="H47" s="135">
        <f t="shared" si="1"/>
        <v>3.710881992135933E-2</v>
      </c>
      <c r="I47" s="898"/>
      <c r="J47" s="307">
        <v>65495.839999999997</v>
      </c>
      <c r="K47" s="113">
        <v>69173.440000000002</v>
      </c>
      <c r="L47" s="134">
        <f t="shared" si="7"/>
        <v>3677.6000000000058</v>
      </c>
      <c r="M47" s="135">
        <f t="shared" si="2"/>
        <v>5.6150131061759131E-2</v>
      </c>
      <c r="N47" s="874"/>
      <c r="O47" s="307">
        <v>107444.56999999999</v>
      </c>
      <c r="P47" s="306">
        <v>109681.22</v>
      </c>
      <c r="Q47" s="134">
        <f t="shared" si="3"/>
        <v>2236.6500000000087</v>
      </c>
      <c r="R47" s="135">
        <f t="shared" si="4"/>
        <v>2.0816780224445115E-2</v>
      </c>
      <c r="S47" s="874"/>
      <c r="T47" s="117">
        <v>145213.76999999999</v>
      </c>
      <c r="U47" s="113">
        <v>150999.63</v>
      </c>
      <c r="V47" s="134">
        <f t="shared" si="5"/>
        <v>5785.8600000000151</v>
      </c>
      <c r="W47" s="135">
        <f t="shared" si="6"/>
        <v>3.9843742091400944E-2</v>
      </c>
      <c r="X47" s="856"/>
    </row>
    <row r="48" spans="1:24" s="2" customFormat="1" ht="78.75" x14ac:dyDescent="0.2">
      <c r="A48" s="357">
        <v>1150</v>
      </c>
      <c r="B48" s="136" t="s">
        <v>99</v>
      </c>
      <c r="C48" s="309">
        <v>82665.38</v>
      </c>
      <c r="D48" s="308">
        <v>78591.06</v>
      </c>
      <c r="E48" s="308">
        <v>13504.65</v>
      </c>
      <c r="F48" s="120">
        <v>32336.6</v>
      </c>
      <c r="G48" s="121">
        <f t="shared" si="0"/>
        <v>18831.949999999997</v>
      </c>
      <c r="H48" s="122">
        <f t="shared" si="1"/>
        <v>1.3944789387359167</v>
      </c>
      <c r="I48" s="630" t="s">
        <v>100</v>
      </c>
      <c r="J48" s="308">
        <v>35746.899999999994</v>
      </c>
      <c r="K48" s="120">
        <v>80544.320000000007</v>
      </c>
      <c r="L48" s="121">
        <f t="shared" si="7"/>
        <v>44797.420000000013</v>
      </c>
      <c r="M48" s="122">
        <f t="shared" si="2"/>
        <v>1.2531833529620755</v>
      </c>
      <c r="N48" s="630" t="s">
        <v>101</v>
      </c>
      <c r="O48" s="308">
        <v>51111.959999999992</v>
      </c>
      <c r="P48" s="308">
        <f>144038.41+648.1</f>
        <v>144686.51</v>
      </c>
      <c r="Q48" s="121">
        <f t="shared" si="3"/>
        <v>93574.550000000017</v>
      </c>
      <c r="R48" s="122">
        <f t="shared" si="4"/>
        <v>1.830776006241984</v>
      </c>
      <c r="S48" s="630" t="s">
        <v>101</v>
      </c>
      <c r="T48" s="120">
        <v>78591.06</v>
      </c>
      <c r="U48" s="120">
        <v>196314.81</v>
      </c>
      <c r="V48" s="121">
        <f t="shared" si="5"/>
        <v>117723.75</v>
      </c>
      <c r="W48" s="122">
        <f t="shared" si="6"/>
        <v>1.4979280086055591</v>
      </c>
      <c r="X48" s="767" t="s">
        <v>102</v>
      </c>
    </row>
    <row r="49" spans="1:24" s="2" customFormat="1" ht="46.5" customHeight="1" x14ac:dyDescent="0.2">
      <c r="A49" s="130">
        <v>1170</v>
      </c>
      <c r="B49" s="139" t="s">
        <v>103</v>
      </c>
      <c r="C49" s="412">
        <v>0</v>
      </c>
      <c r="D49" s="308">
        <v>0</v>
      </c>
      <c r="E49" s="308">
        <v>0</v>
      </c>
      <c r="F49" s="120"/>
      <c r="G49" s="121">
        <f t="shared" si="0"/>
        <v>0</v>
      </c>
      <c r="H49" s="122" t="str">
        <f t="shared" si="1"/>
        <v>-</v>
      </c>
      <c r="I49" s="123"/>
      <c r="J49" s="308">
        <v>0</v>
      </c>
      <c r="K49" s="120"/>
      <c r="L49" s="121">
        <f t="shared" si="7"/>
        <v>0</v>
      </c>
      <c r="M49" s="122" t="str">
        <f t="shared" si="2"/>
        <v>-</v>
      </c>
      <c r="N49" s="123"/>
      <c r="O49" s="308">
        <v>0</v>
      </c>
      <c r="P49" s="308"/>
      <c r="Q49" s="121">
        <f t="shared" si="3"/>
        <v>0</v>
      </c>
      <c r="R49" s="122" t="str">
        <f t="shared" si="4"/>
        <v>-</v>
      </c>
      <c r="S49" s="123"/>
      <c r="T49" s="120">
        <v>0</v>
      </c>
      <c r="U49" s="120"/>
      <c r="V49" s="121">
        <f t="shared" si="5"/>
        <v>0</v>
      </c>
      <c r="W49" s="122" t="str">
        <f t="shared" si="6"/>
        <v>-</v>
      </c>
      <c r="X49" s="772"/>
    </row>
    <row r="50" spans="1:24" s="2" customFormat="1" ht="46.5" customHeight="1" x14ac:dyDescent="0.2">
      <c r="A50" s="99">
        <v>1200</v>
      </c>
      <c r="B50" s="150" t="s">
        <v>104</v>
      </c>
      <c r="C50" s="305">
        <v>3622245.6399999997</v>
      </c>
      <c r="D50" s="305">
        <v>3874986.93</v>
      </c>
      <c r="E50" s="305">
        <v>945972.32000000007</v>
      </c>
      <c r="F50" s="305">
        <f>F51+F52</f>
        <v>930203.54</v>
      </c>
      <c r="G50" s="146">
        <f t="shared" si="0"/>
        <v>-15768.780000000028</v>
      </c>
      <c r="H50" s="147">
        <f t="shared" si="1"/>
        <v>-1.6669388381258372E-2</v>
      </c>
      <c r="I50" s="155"/>
      <c r="J50" s="305">
        <v>1922257.1900000002</v>
      </c>
      <c r="K50" s="305">
        <f>K51+K52</f>
        <v>1920676.9900000002</v>
      </c>
      <c r="L50" s="146">
        <f t="shared" si="7"/>
        <v>-1580.1999999999534</v>
      </c>
      <c r="M50" s="147">
        <f t="shared" si="2"/>
        <v>-8.2205440989920465E-4</v>
      </c>
      <c r="N50" s="155"/>
      <c r="O50" s="305">
        <v>2898582.06</v>
      </c>
      <c r="P50" s="305">
        <f>P51+P52</f>
        <v>2887620.41</v>
      </c>
      <c r="Q50" s="146">
        <f t="shared" si="3"/>
        <v>-10961.649999999907</v>
      </c>
      <c r="R50" s="147">
        <f t="shared" si="4"/>
        <v>-3.7817283668691122E-3</v>
      </c>
      <c r="S50" s="155"/>
      <c r="T50" s="145">
        <v>3874986.93</v>
      </c>
      <c r="U50" s="145">
        <f>U51+U52</f>
        <v>3920150.1</v>
      </c>
      <c r="V50" s="146">
        <f t="shared" si="5"/>
        <v>45163.169999999925</v>
      </c>
      <c r="W50" s="147">
        <f t="shared" si="6"/>
        <v>1.1655050924262066E-2</v>
      </c>
      <c r="X50" s="774"/>
    </row>
    <row r="51" spans="1:24" s="2" customFormat="1" ht="46.5" customHeight="1" x14ac:dyDescent="0.2">
      <c r="A51" s="130">
        <v>1210</v>
      </c>
      <c r="B51" s="136" t="s">
        <v>105</v>
      </c>
      <c r="C51" s="308">
        <v>3429954.7899999996</v>
      </c>
      <c r="D51" s="308">
        <v>3555805.39</v>
      </c>
      <c r="E51" s="308">
        <v>867622.39</v>
      </c>
      <c r="F51" s="308">
        <v>859115.91</v>
      </c>
      <c r="G51" s="121">
        <f t="shared" si="0"/>
        <v>-8506.4799999999814</v>
      </c>
      <c r="H51" s="122">
        <f t="shared" si="1"/>
        <v>-9.8043574002279737E-3</v>
      </c>
      <c r="I51" s="123"/>
      <c r="J51" s="308">
        <v>1763683.3900000001</v>
      </c>
      <c r="K51" s="308">
        <v>1802252.36</v>
      </c>
      <c r="L51" s="121">
        <f t="shared" si="7"/>
        <v>38568.969999999972</v>
      </c>
      <c r="M51" s="122">
        <f t="shared" si="2"/>
        <v>2.1868420499214412E-2</v>
      </c>
      <c r="N51" s="123"/>
      <c r="O51" s="308">
        <v>2659744.39</v>
      </c>
      <c r="P51" s="308">
        <v>2723217.67</v>
      </c>
      <c r="Q51" s="121">
        <f t="shared" si="3"/>
        <v>63473.279999999795</v>
      </c>
      <c r="R51" s="122">
        <f t="shared" si="4"/>
        <v>2.3864428566385581E-2</v>
      </c>
      <c r="S51" s="123"/>
      <c r="T51" s="120">
        <v>3555805.39</v>
      </c>
      <c r="U51" s="120">
        <v>3705490.91</v>
      </c>
      <c r="V51" s="121">
        <f t="shared" si="5"/>
        <v>149685.52000000002</v>
      </c>
      <c r="W51" s="122">
        <f t="shared" si="6"/>
        <v>4.2096094578449358E-2</v>
      </c>
      <c r="X51" s="772"/>
    </row>
    <row r="52" spans="1:24" s="2" customFormat="1" ht="46.5" customHeight="1" x14ac:dyDescent="0.2">
      <c r="A52" s="130">
        <v>1220</v>
      </c>
      <c r="B52" s="136" t="s">
        <v>106</v>
      </c>
      <c r="C52" s="311">
        <v>192290.85000000003</v>
      </c>
      <c r="D52" s="311">
        <v>319181.53999999998</v>
      </c>
      <c r="E52" s="311">
        <v>78349.929999999993</v>
      </c>
      <c r="F52" s="311">
        <f>F53+F54+F55+F56+F57</f>
        <v>71087.63</v>
      </c>
      <c r="G52" s="121">
        <f t="shared" si="0"/>
        <v>-7262.2999999999884</v>
      </c>
      <c r="H52" s="122">
        <f t="shared" si="1"/>
        <v>-9.2690574197066791E-2</v>
      </c>
      <c r="I52" s="888" t="s">
        <v>107</v>
      </c>
      <c r="J52" s="311">
        <v>158573.80000000002</v>
      </c>
      <c r="K52" s="311">
        <f>K53+K54+K55+K56+K57</f>
        <v>118424.63</v>
      </c>
      <c r="L52" s="121">
        <f t="shared" si="7"/>
        <v>-40149.170000000013</v>
      </c>
      <c r="M52" s="122">
        <f t="shared" si="2"/>
        <v>-0.25318917753121895</v>
      </c>
      <c r="N52" s="864" t="s">
        <v>108</v>
      </c>
      <c r="O52" s="311">
        <v>238837.67000000004</v>
      </c>
      <c r="P52" s="311">
        <f>P53+P54+P55+P56+P57</f>
        <v>164402.74</v>
      </c>
      <c r="Q52" s="121">
        <f t="shared" si="3"/>
        <v>-74434.930000000051</v>
      </c>
      <c r="R52" s="122">
        <f t="shared" si="4"/>
        <v>-0.31165489932974155</v>
      </c>
      <c r="S52" s="864" t="s">
        <v>109</v>
      </c>
      <c r="T52" s="247">
        <v>319181.53999999998</v>
      </c>
      <c r="U52" s="247">
        <f>U53+U54+U55+U56+U57</f>
        <v>214659.19</v>
      </c>
      <c r="V52" s="121">
        <f t="shared" si="5"/>
        <v>-104522.34999999998</v>
      </c>
      <c r="W52" s="122">
        <f t="shared" si="6"/>
        <v>-0.32746990944401105</v>
      </c>
      <c r="X52" s="854" t="s">
        <v>110</v>
      </c>
    </row>
    <row r="53" spans="1:24" s="2" customFormat="1" ht="66.75" customHeight="1" x14ac:dyDescent="0.2">
      <c r="A53" s="243">
        <v>1221</v>
      </c>
      <c r="B53" s="133" t="s">
        <v>111</v>
      </c>
      <c r="C53" s="113">
        <v>191870.85000000003</v>
      </c>
      <c r="D53" s="306">
        <v>318721.53999999998</v>
      </c>
      <c r="E53" s="306">
        <v>78229.929999999993</v>
      </c>
      <c r="F53" s="306">
        <v>71007.63</v>
      </c>
      <c r="G53" s="114">
        <f t="shared" si="0"/>
        <v>-7222.2999999999884</v>
      </c>
      <c r="H53" s="115">
        <f t="shared" si="1"/>
        <v>-9.2321442701022341E-2</v>
      </c>
      <c r="I53" s="889"/>
      <c r="J53" s="306">
        <v>158393.80000000002</v>
      </c>
      <c r="K53" s="306">
        <v>118324.63</v>
      </c>
      <c r="L53" s="114">
        <f t="shared" si="7"/>
        <v>-40069.170000000013</v>
      </c>
      <c r="M53" s="115">
        <f t="shared" si="2"/>
        <v>-0.25297183349348273</v>
      </c>
      <c r="N53" s="865"/>
      <c r="O53" s="306">
        <v>238557.67000000004</v>
      </c>
      <c r="P53" s="306">
        <f>164282.74</f>
        <v>164282.74</v>
      </c>
      <c r="Q53" s="114">
        <f t="shared" si="3"/>
        <v>-74274.930000000051</v>
      </c>
      <c r="R53" s="115">
        <f t="shared" si="4"/>
        <v>-0.31134999767561461</v>
      </c>
      <c r="S53" s="865"/>
      <c r="T53" s="113">
        <v>318721.53999999998</v>
      </c>
      <c r="U53" s="113">
        <v>214339.19</v>
      </c>
      <c r="V53" s="114">
        <f t="shared" si="5"/>
        <v>-104382.34999999998</v>
      </c>
      <c r="W53" s="115">
        <f t="shared" si="6"/>
        <v>-0.32750328076351531</v>
      </c>
      <c r="X53" s="855"/>
    </row>
    <row r="54" spans="1:24" s="2" customFormat="1" ht="46.5" customHeight="1" x14ac:dyDescent="0.2">
      <c r="A54" s="243">
        <v>1222</v>
      </c>
      <c r="B54" s="133" t="s">
        <v>112</v>
      </c>
      <c r="C54" s="113">
        <v>0</v>
      </c>
      <c r="D54" s="306">
        <v>0</v>
      </c>
      <c r="E54" s="306">
        <v>0</v>
      </c>
      <c r="F54" s="113"/>
      <c r="G54" s="114">
        <f t="shared" si="0"/>
        <v>0</v>
      </c>
      <c r="H54" s="115" t="str">
        <f t="shared" si="1"/>
        <v>-</v>
      </c>
      <c r="I54" s="889"/>
      <c r="J54" s="306">
        <v>0</v>
      </c>
      <c r="K54" s="113"/>
      <c r="L54" s="114">
        <f t="shared" si="7"/>
        <v>0</v>
      </c>
      <c r="M54" s="115" t="str">
        <f t="shared" si="2"/>
        <v>-</v>
      </c>
      <c r="N54" s="865"/>
      <c r="O54" s="306">
        <v>0</v>
      </c>
      <c r="P54" s="306"/>
      <c r="Q54" s="114">
        <f t="shared" si="3"/>
        <v>0</v>
      </c>
      <c r="R54" s="115" t="str">
        <f t="shared" si="4"/>
        <v>-</v>
      </c>
      <c r="S54" s="865"/>
      <c r="T54" s="113">
        <v>0</v>
      </c>
      <c r="U54" s="113"/>
      <c r="V54" s="114">
        <f t="shared" si="5"/>
        <v>0</v>
      </c>
      <c r="W54" s="115" t="str">
        <f t="shared" si="6"/>
        <v>-</v>
      </c>
      <c r="X54" s="855"/>
    </row>
    <row r="55" spans="1:24" s="2" customFormat="1" ht="46.5" customHeight="1" x14ac:dyDescent="0.2">
      <c r="A55" s="243">
        <v>1223</v>
      </c>
      <c r="B55" s="40" t="s">
        <v>113</v>
      </c>
      <c r="C55" s="113">
        <v>0</v>
      </c>
      <c r="D55" s="306">
        <v>0</v>
      </c>
      <c r="E55" s="306">
        <v>0</v>
      </c>
      <c r="F55" s="113"/>
      <c r="G55" s="114">
        <f t="shared" si="0"/>
        <v>0</v>
      </c>
      <c r="H55" s="115" t="str">
        <f t="shared" si="1"/>
        <v>-</v>
      </c>
      <c r="I55" s="889"/>
      <c r="J55" s="306">
        <v>0</v>
      </c>
      <c r="K55" s="113"/>
      <c r="L55" s="114">
        <f t="shared" si="7"/>
        <v>0</v>
      </c>
      <c r="M55" s="115" t="str">
        <f t="shared" si="2"/>
        <v>-</v>
      </c>
      <c r="N55" s="865"/>
      <c r="O55" s="306">
        <v>0</v>
      </c>
      <c r="P55" s="306"/>
      <c r="Q55" s="114">
        <f t="shared" si="3"/>
        <v>0</v>
      </c>
      <c r="R55" s="115" t="str">
        <f t="shared" si="4"/>
        <v>-</v>
      </c>
      <c r="S55" s="865"/>
      <c r="T55" s="113">
        <v>0</v>
      </c>
      <c r="U55" s="113"/>
      <c r="V55" s="114">
        <f t="shared" si="5"/>
        <v>0</v>
      </c>
      <c r="W55" s="115" t="str">
        <f t="shared" si="6"/>
        <v>-</v>
      </c>
      <c r="X55" s="855"/>
    </row>
    <row r="56" spans="1:24" s="2" customFormat="1" ht="46.5" customHeight="1" x14ac:dyDescent="0.2">
      <c r="A56" s="243">
        <v>1227</v>
      </c>
      <c r="B56" s="133" t="s">
        <v>114</v>
      </c>
      <c r="C56" s="113">
        <v>0</v>
      </c>
      <c r="D56" s="306">
        <v>0</v>
      </c>
      <c r="E56" s="306">
        <v>0</v>
      </c>
      <c r="F56" s="113"/>
      <c r="G56" s="114">
        <f t="shared" si="0"/>
        <v>0</v>
      </c>
      <c r="H56" s="115" t="str">
        <f t="shared" si="1"/>
        <v>-</v>
      </c>
      <c r="I56" s="889"/>
      <c r="J56" s="306">
        <v>0</v>
      </c>
      <c r="K56" s="113"/>
      <c r="L56" s="114">
        <f t="shared" si="7"/>
        <v>0</v>
      </c>
      <c r="M56" s="115" t="str">
        <f t="shared" si="2"/>
        <v>-</v>
      </c>
      <c r="N56" s="865"/>
      <c r="O56" s="306">
        <v>0</v>
      </c>
      <c r="P56" s="306"/>
      <c r="Q56" s="114">
        <f t="shared" si="3"/>
        <v>0</v>
      </c>
      <c r="R56" s="115" t="str">
        <f t="shared" si="4"/>
        <v>-</v>
      </c>
      <c r="S56" s="865"/>
      <c r="T56" s="113">
        <v>0</v>
      </c>
      <c r="U56" s="113"/>
      <c r="V56" s="114">
        <f t="shared" si="5"/>
        <v>0</v>
      </c>
      <c r="W56" s="115" t="str">
        <f t="shared" si="6"/>
        <v>-</v>
      </c>
      <c r="X56" s="855"/>
    </row>
    <row r="57" spans="1:24" s="2" customFormat="1" ht="46.5" customHeight="1" x14ac:dyDescent="0.2">
      <c r="A57" s="243">
        <v>1228</v>
      </c>
      <c r="B57" s="133" t="s">
        <v>115</v>
      </c>
      <c r="C57" s="113">
        <v>420</v>
      </c>
      <c r="D57" s="306">
        <v>460</v>
      </c>
      <c r="E57" s="306">
        <v>120</v>
      </c>
      <c r="F57" s="113">
        <v>80</v>
      </c>
      <c r="G57" s="114">
        <f t="shared" si="0"/>
        <v>-40</v>
      </c>
      <c r="H57" s="115">
        <f t="shared" si="1"/>
        <v>-0.33333333333333331</v>
      </c>
      <c r="I57" s="890"/>
      <c r="J57" s="306">
        <v>180</v>
      </c>
      <c r="K57" s="113">
        <v>100</v>
      </c>
      <c r="L57" s="114">
        <f t="shared" si="7"/>
        <v>-80</v>
      </c>
      <c r="M57" s="115">
        <f t="shared" si="2"/>
        <v>-0.44444444444444442</v>
      </c>
      <c r="N57" s="866"/>
      <c r="O57" s="307">
        <v>280</v>
      </c>
      <c r="P57" s="306">
        <v>120</v>
      </c>
      <c r="Q57" s="114">
        <f t="shared" si="3"/>
        <v>-160</v>
      </c>
      <c r="R57" s="115">
        <f t="shared" si="4"/>
        <v>-0.5714285714285714</v>
      </c>
      <c r="S57" s="866"/>
      <c r="T57" s="113">
        <v>460</v>
      </c>
      <c r="U57" s="113">
        <v>320</v>
      </c>
      <c r="V57" s="114">
        <f t="shared" si="5"/>
        <v>-140</v>
      </c>
      <c r="W57" s="115">
        <f t="shared" si="6"/>
        <v>-0.30434782608695654</v>
      </c>
      <c r="X57" s="856"/>
    </row>
    <row r="58" spans="1:24" s="2" customFormat="1" ht="46.5" customHeight="1" x14ac:dyDescent="0.2">
      <c r="A58" s="238">
        <v>2000</v>
      </c>
      <c r="B58" s="248" t="s">
        <v>116</v>
      </c>
      <c r="C58" s="239">
        <v>11556937.129999999</v>
      </c>
      <c r="D58" s="304">
        <v>11390837.220000001</v>
      </c>
      <c r="E58" s="304">
        <v>2747288.2800000003</v>
      </c>
      <c r="F58" s="239">
        <f>F59+F66+F103+F129+F139</f>
        <v>2855690.5500000003</v>
      </c>
      <c r="G58" s="240">
        <f>F58-E58</f>
        <v>108402.27000000002</v>
      </c>
      <c r="H58" s="241">
        <f>IFERROR(G58/ABS(E58), "-")</f>
        <v>3.945791593447194E-2</v>
      </c>
      <c r="I58" s="239"/>
      <c r="J58" s="304">
        <v>5499891.4300000006</v>
      </c>
      <c r="K58" s="239">
        <f>K59+K66+K103+K129+K139</f>
        <v>5874250.5499999998</v>
      </c>
      <c r="L58" s="240">
        <f t="shared" si="7"/>
        <v>374359.11999999918</v>
      </c>
      <c r="M58" s="241">
        <f t="shared" si="2"/>
        <v>6.8066638180892078E-2</v>
      </c>
      <c r="N58" s="239"/>
      <c r="O58" s="304">
        <v>8388233.6900000004</v>
      </c>
      <c r="P58" s="304">
        <f>P59+P66+P103+P129+P139</f>
        <v>8811108.9700000007</v>
      </c>
      <c r="Q58" s="240">
        <f>P58-O58</f>
        <v>422875.28000000026</v>
      </c>
      <c r="R58" s="241">
        <f t="shared" si="4"/>
        <v>5.0412911183450856E-2</v>
      </c>
      <c r="S58" s="239"/>
      <c r="T58" s="239">
        <v>11390837.220000001</v>
      </c>
      <c r="U58" s="239">
        <f>U59+U66+U103+U129+U139</f>
        <v>11895360.009999998</v>
      </c>
      <c r="V58" s="240">
        <f>U58-T58</f>
        <v>504522.78999999724</v>
      </c>
      <c r="W58" s="241">
        <f t="shared" si="6"/>
        <v>4.4291984887129938E-2</v>
      </c>
      <c r="X58" s="775"/>
    </row>
    <row r="59" spans="1:24" s="2" customFormat="1" ht="46.5" customHeight="1" x14ac:dyDescent="0.2">
      <c r="A59" s="99">
        <v>2100</v>
      </c>
      <c r="B59" s="149" t="s">
        <v>117</v>
      </c>
      <c r="C59" s="145">
        <v>9316.369999999999</v>
      </c>
      <c r="D59" s="305">
        <v>11228.41</v>
      </c>
      <c r="E59" s="305">
        <v>4712.3999999999996</v>
      </c>
      <c r="F59" s="145">
        <f>F60+F63</f>
        <v>4712.3999999999996</v>
      </c>
      <c r="G59" s="146">
        <f>F59-E59</f>
        <v>0</v>
      </c>
      <c r="H59" s="147">
        <f t="shared" si="1"/>
        <v>0</v>
      </c>
      <c r="I59" s="155"/>
      <c r="J59" s="305">
        <v>6002.94</v>
      </c>
      <c r="K59" s="145">
        <f>K60+K63</f>
        <v>6104.8</v>
      </c>
      <c r="L59" s="146">
        <f>K59-J59</f>
        <v>101.86000000000058</v>
      </c>
      <c r="M59" s="147">
        <f>IFERROR(L59/ABS(J59), "-")</f>
        <v>1.6968352174101455E-2</v>
      </c>
      <c r="N59" s="155"/>
      <c r="O59" s="305">
        <v>8861.83</v>
      </c>
      <c r="P59" s="305">
        <f>P60+P63</f>
        <v>7149.7999999999993</v>
      </c>
      <c r="Q59" s="146">
        <f>P59-O59</f>
        <v>-1712.0300000000007</v>
      </c>
      <c r="R59" s="147">
        <f t="shared" si="4"/>
        <v>-0.19319147399577746</v>
      </c>
      <c r="S59" s="155"/>
      <c r="T59" s="145">
        <v>11228.41</v>
      </c>
      <c r="U59" s="145">
        <f>U60+U63</f>
        <v>11384.79</v>
      </c>
      <c r="V59" s="146">
        <f t="shared" si="5"/>
        <v>156.38000000000102</v>
      </c>
      <c r="W59" s="147">
        <f t="shared" si="6"/>
        <v>1.3927172235427903E-2</v>
      </c>
      <c r="X59" s="774"/>
    </row>
    <row r="60" spans="1:24" s="244" customFormat="1" ht="46.5" customHeight="1" x14ac:dyDescent="0.2">
      <c r="A60" s="130">
        <v>2110</v>
      </c>
      <c r="B60" s="119" t="s">
        <v>118</v>
      </c>
      <c r="C60" s="247">
        <v>1866.6100000000001</v>
      </c>
      <c r="D60" s="311">
        <v>1866.6100000000001</v>
      </c>
      <c r="E60" s="311">
        <v>0</v>
      </c>
      <c r="F60" s="247">
        <f>F61+F62</f>
        <v>0</v>
      </c>
      <c r="G60" s="247">
        <f t="shared" ref="G60:I60" si="16">G61+G62</f>
        <v>0</v>
      </c>
      <c r="H60" s="247">
        <f t="shared" si="16"/>
        <v>0</v>
      </c>
      <c r="I60" s="247">
        <f t="shared" si="16"/>
        <v>0</v>
      </c>
      <c r="J60" s="311">
        <v>180</v>
      </c>
      <c r="K60" s="247">
        <f>K61+K62</f>
        <v>0</v>
      </c>
      <c r="L60" s="128">
        <f t="shared" ref="L60:L65" si="17">K60-J60</f>
        <v>-180</v>
      </c>
      <c r="M60" s="129">
        <f t="shared" ref="M60:M65" si="18">IFERROR(L60/ABS(J60), "-")</f>
        <v>-1</v>
      </c>
      <c r="N60" s="247"/>
      <c r="O60" s="311">
        <v>180</v>
      </c>
      <c r="P60" s="311">
        <f t="shared" ref="P60" si="19">P61+P62</f>
        <v>45</v>
      </c>
      <c r="Q60" s="128">
        <f t="shared" ref="Q60:Q65" si="20">P60-O60</f>
        <v>-135</v>
      </c>
      <c r="R60" s="129">
        <f t="shared" si="4"/>
        <v>-0.75</v>
      </c>
      <c r="S60" s="247"/>
      <c r="T60" s="247">
        <v>1866.6100000000001</v>
      </c>
      <c r="U60" s="247">
        <f t="shared" ref="U60" si="21">U61+U62</f>
        <v>294</v>
      </c>
      <c r="V60" s="121">
        <f t="shared" si="5"/>
        <v>-1572.6100000000001</v>
      </c>
      <c r="W60" s="122">
        <f t="shared" si="6"/>
        <v>-0.84249521860485055</v>
      </c>
      <c r="X60" s="776"/>
    </row>
    <row r="61" spans="1:24" s="244" customFormat="1" ht="46.5" customHeight="1" x14ac:dyDescent="0.2">
      <c r="A61" s="243">
        <v>2111</v>
      </c>
      <c r="B61" s="58" t="s">
        <v>119</v>
      </c>
      <c r="C61" s="247">
        <v>0</v>
      </c>
      <c r="D61" s="311">
        <v>0</v>
      </c>
      <c r="E61" s="311">
        <v>0</v>
      </c>
      <c r="F61" s="247"/>
      <c r="G61" s="121"/>
      <c r="H61" s="122"/>
      <c r="I61" s="152"/>
      <c r="J61" s="311">
        <v>0</v>
      </c>
      <c r="K61" s="247"/>
      <c r="L61" s="128">
        <f t="shared" si="17"/>
        <v>0</v>
      </c>
      <c r="M61" s="129" t="str">
        <f t="shared" si="18"/>
        <v>-</v>
      </c>
      <c r="N61" s="152"/>
      <c r="O61" s="311">
        <v>0</v>
      </c>
      <c r="P61" s="311"/>
      <c r="Q61" s="128">
        <f t="shared" si="20"/>
        <v>0</v>
      </c>
      <c r="R61" s="129" t="str">
        <f t="shared" si="4"/>
        <v>-</v>
      </c>
      <c r="S61" s="152"/>
      <c r="T61" s="247">
        <v>0</v>
      </c>
      <c r="U61" s="247"/>
      <c r="V61" s="121">
        <f t="shared" si="5"/>
        <v>0</v>
      </c>
      <c r="W61" s="122" t="str">
        <f t="shared" si="6"/>
        <v>-</v>
      </c>
      <c r="X61" s="771"/>
    </row>
    <row r="62" spans="1:24" s="244" customFormat="1" ht="46.5" customHeight="1" x14ac:dyDescent="0.2">
      <c r="A62" s="243">
        <v>2112</v>
      </c>
      <c r="B62" s="58" t="s">
        <v>120</v>
      </c>
      <c r="C62" s="247">
        <v>1866.6100000000001</v>
      </c>
      <c r="D62" s="311">
        <v>1866.6100000000001</v>
      </c>
      <c r="E62" s="311">
        <v>0</v>
      </c>
      <c r="F62" s="247">
        <v>0</v>
      </c>
      <c r="G62" s="121"/>
      <c r="H62" s="122"/>
      <c r="I62" s="152"/>
      <c r="J62" s="311">
        <v>180</v>
      </c>
      <c r="K62" s="247">
        <v>0</v>
      </c>
      <c r="L62" s="128">
        <f t="shared" si="17"/>
        <v>-180</v>
      </c>
      <c r="M62" s="129">
        <f t="shared" si="18"/>
        <v>-1</v>
      </c>
      <c r="N62" s="666" t="s">
        <v>121</v>
      </c>
      <c r="O62" s="311">
        <v>180</v>
      </c>
      <c r="P62" s="311">
        <v>45</v>
      </c>
      <c r="Q62" s="128">
        <f t="shared" si="20"/>
        <v>-135</v>
      </c>
      <c r="R62" s="129">
        <f t="shared" si="4"/>
        <v>-0.75</v>
      </c>
      <c r="S62" s="666" t="s">
        <v>122</v>
      </c>
      <c r="T62" s="247">
        <v>1866.6100000000001</v>
      </c>
      <c r="U62" s="247">
        <v>294</v>
      </c>
      <c r="V62" s="121">
        <f t="shared" si="5"/>
        <v>-1572.6100000000001</v>
      </c>
      <c r="W62" s="122">
        <f t="shared" si="6"/>
        <v>-0.84249521860485055</v>
      </c>
      <c r="X62" s="768" t="s">
        <v>123</v>
      </c>
    </row>
    <row r="63" spans="1:24" s="244" customFormat="1" ht="46.5" customHeight="1" x14ac:dyDescent="0.2">
      <c r="A63" s="130">
        <v>2120</v>
      </c>
      <c r="B63" s="119" t="s">
        <v>124</v>
      </c>
      <c r="C63" s="247">
        <v>7449.76</v>
      </c>
      <c r="D63" s="311">
        <v>9361.7999999999993</v>
      </c>
      <c r="E63" s="311">
        <v>4712.3999999999996</v>
      </c>
      <c r="F63" s="247">
        <f t="shared" ref="F63:I63" si="22">F64+F65</f>
        <v>4712.3999999999996</v>
      </c>
      <c r="G63" s="247">
        <f t="shared" si="22"/>
        <v>0</v>
      </c>
      <c r="H63" s="247">
        <f t="shared" si="22"/>
        <v>0</v>
      </c>
      <c r="I63" s="247">
        <f t="shared" si="22"/>
        <v>0</v>
      </c>
      <c r="J63" s="311">
        <v>5822.94</v>
      </c>
      <c r="K63" s="247">
        <f t="shared" ref="K63" si="23">K64+K65</f>
        <v>6104.8</v>
      </c>
      <c r="L63" s="128">
        <f t="shared" si="17"/>
        <v>281.86000000000058</v>
      </c>
      <c r="M63" s="129">
        <f t="shared" si="18"/>
        <v>4.8405101203172381E-2</v>
      </c>
      <c r="N63" s="247">
        <f t="shared" ref="N63" si="24">N64+N65</f>
        <v>0</v>
      </c>
      <c r="O63" s="311">
        <v>8681.83</v>
      </c>
      <c r="P63" s="311">
        <f t="shared" ref="P63" si="25">P64+P65</f>
        <v>7104.7999999999993</v>
      </c>
      <c r="Q63" s="128">
        <f t="shared" si="20"/>
        <v>-1577.0300000000007</v>
      </c>
      <c r="R63" s="129">
        <f t="shared" si="4"/>
        <v>-0.18164718728655141</v>
      </c>
      <c r="S63" s="385"/>
      <c r="T63" s="247">
        <v>9361.7999999999993</v>
      </c>
      <c r="U63" s="247">
        <f t="shared" ref="U63" si="26">U64+U65</f>
        <v>11090.79</v>
      </c>
      <c r="V63" s="121">
        <f t="shared" si="5"/>
        <v>1728.9900000000016</v>
      </c>
      <c r="W63" s="122">
        <f t="shared" si="6"/>
        <v>0.1846856373774276</v>
      </c>
      <c r="X63" s="777"/>
    </row>
    <row r="64" spans="1:24" s="244" customFormat="1" ht="46.5" customHeight="1" x14ac:dyDescent="0.2">
      <c r="A64" s="243">
        <v>2121</v>
      </c>
      <c r="B64" s="58" t="s">
        <v>119</v>
      </c>
      <c r="C64" s="247">
        <v>240</v>
      </c>
      <c r="D64" s="311">
        <v>240</v>
      </c>
      <c r="E64" s="311">
        <v>0</v>
      </c>
      <c r="F64" s="247"/>
      <c r="G64" s="121"/>
      <c r="H64" s="122"/>
      <c r="I64" s="152"/>
      <c r="J64" s="311">
        <v>0</v>
      </c>
      <c r="K64" s="247"/>
      <c r="L64" s="128">
        <f t="shared" si="17"/>
        <v>0</v>
      </c>
      <c r="M64" s="129" t="str">
        <f t="shared" si="18"/>
        <v>-</v>
      </c>
      <c r="N64" s="152"/>
      <c r="O64" s="311">
        <v>240</v>
      </c>
      <c r="P64" s="311"/>
      <c r="Q64" s="128">
        <f t="shared" si="20"/>
        <v>-240</v>
      </c>
      <c r="R64" s="129">
        <f t="shared" si="4"/>
        <v>-1</v>
      </c>
      <c r="S64" s="666" t="s">
        <v>125</v>
      </c>
      <c r="T64" s="247">
        <v>240</v>
      </c>
      <c r="U64" s="247">
        <v>300</v>
      </c>
      <c r="V64" s="121">
        <f t="shared" si="5"/>
        <v>60</v>
      </c>
      <c r="W64" s="122">
        <f t="shared" si="6"/>
        <v>0.25</v>
      </c>
      <c r="X64" s="768" t="s">
        <v>126</v>
      </c>
    </row>
    <row r="65" spans="1:24" s="244" customFormat="1" ht="46.5" customHeight="1" x14ac:dyDescent="0.2">
      <c r="A65" s="243">
        <v>2122</v>
      </c>
      <c r="B65" s="58" t="s">
        <v>120</v>
      </c>
      <c r="C65" s="247">
        <v>7209.76</v>
      </c>
      <c r="D65" s="311">
        <v>9121.7999999999993</v>
      </c>
      <c r="E65" s="311">
        <v>4712.3999999999996</v>
      </c>
      <c r="F65" s="247">
        <v>4712.3999999999996</v>
      </c>
      <c r="G65" s="121"/>
      <c r="H65" s="122"/>
      <c r="I65" s="152"/>
      <c r="J65" s="311">
        <v>5822.94</v>
      </c>
      <c r="K65" s="247">
        <v>6104.8</v>
      </c>
      <c r="L65" s="128">
        <f t="shared" si="17"/>
        <v>281.86000000000058</v>
      </c>
      <c r="M65" s="129">
        <f t="shared" si="18"/>
        <v>4.8405101203172381E-2</v>
      </c>
      <c r="N65" s="152"/>
      <c r="O65" s="311">
        <v>8441.83</v>
      </c>
      <c r="P65" s="311">
        <f>822.36+6282.44</f>
        <v>7104.7999999999993</v>
      </c>
      <c r="Q65" s="128">
        <f t="shared" si="20"/>
        <v>-1337.0300000000007</v>
      </c>
      <c r="R65" s="129">
        <f t="shared" si="4"/>
        <v>-0.15838153575705749</v>
      </c>
      <c r="S65" s="666" t="s">
        <v>127</v>
      </c>
      <c r="T65" s="247">
        <v>9121.7999999999993</v>
      </c>
      <c r="U65" s="247">
        <v>10790.79</v>
      </c>
      <c r="V65" s="121">
        <f t="shared" si="5"/>
        <v>1668.9900000000016</v>
      </c>
      <c r="W65" s="122">
        <f t="shared" si="6"/>
        <v>0.1829671775307507</v>
      </c>
      <c r="X65" s="768" t="s">
        <v>126</v>
      </c>
    </row>
    <row r="66" spans="1:24" s="2" customFormat="1" ht="46.5" customHeight="1" x14ac:dyDescent="0.2">
      <c r="A66" s="99">
        <v>2200</v>
      </c>
      <c r="B66" s="150" t="s">
        <v>128</v>
      </c>
      <c r="C66" s="305">
        <v>1974496.38</v>
      </c>
      <c r="D66" s="305">
        <v>1919064.52</v>
      </c>
      <c r="E66" s="305">
        <v>462017.12</v>
      </c>
      <c r="F66" s="305">
        <f>F67+F68+F74+F82+F89+F90+F96+F102</f>
        <v>462484.31</v>
      </c>
      <c r="G66" s="146">
        <f t="shared" si="0"/>
        <v>467.19000000000233</v>
      </c>
      <c r="H66" s="147">
        <f t="shared" si="1"/>
        <v>1.0111962950637031E-3</v>
      </c>
      <c r="I66" s="155"/>
      <c r="J66" s="305">
        <v>900122.06</v>
      </c>
      <c r="K66" s="305">
        <f>K67+K68+K74+K82+K89+K90+K96+K102</f>
        <v>887323.90999999992</v>
      </c>
      <c r="L66" s="146">
        <f t="shared" si="7"/>
        <v>-12798.15000000014</v>
      </c>
      <c r="M66" s="147">
        <f t="shared" si="2"/>
        <v>-1.421823835758468E-2</v>
      </c>
      <c r="N66" s="155"/>
      <c r="O66" s="305">
        <v>1382473.52</v>
      </c>
      <c r="P66" s="305">
        <f>P67+P68+P74+P82+P89+P90+P96+P102</f>
        <v>1279130.5900000001</v>
      </c>
      <c r="Q66" s="146">
        <f t="shared" si="3"/>
        <v>-103342.92999999993</v>
      </c>
      <c r="R66" s="147">
        <f t="shared" si="4"/>
        <v>-7.4752194891949855E-2</v>
      </c>
      <c r="S66" s="155"/>
      <c r="T66" s="145">
        <v>1919064.52</v>
      </c>
      <c r="U66" s="145">
        <f>U67+U68+U74+U82+U89+U90+U96+U102</f>
        <v>1819856.4000000001</v>
      </c>
      <c r="V66" s="146">
        <f t="shared" si="5"/>
        <v>-99208.119999999879</v>
      </c>
      <c r="W66" s="147">
        <f t="shared" si="6"/>
        <v>-5.1696083673101245E-2</v>
      </c>
      <c r="X66" s="774"/>
    </row>
    <row r="67" spans="1:24" s="244" customFormat="1" ht="46.5" customHeight="1" x14ac:dyDescent="0.2">
      <c r="A67" s="130">
        <v>2210</v>
      </c>
      <c r="B67" s="139" t="s">
        <v>129</v>
      </c>
      <c r="C67" s="308">
        <v>11946.06</v>
      </c>
      <c r="D67" s="308">
        <v>12305.16</v>
      </c>
      <c r="E67" s="308">
        <v>3679.8100000000004</v>
      </c>
      <c r="F67" s="308">
        <v>3559.53</v>
      </c>
      <c r="G67" s="121">
        <f t="shared" si="0"/>
        <v>-120.2800000000002</v>
      </c>
      <c r="H67" s="122">
        <f t="shared" si="1"/>
        <v>-3.2686470225364944E-2</v>
      </c>
      <c r="I67" s="249"/>
      <c r="J67" s="308">
        <v>6343.91</v>
      </c>
      <c r="K67" s="308">
        <v>5989.06</v>
      </c>
      <c r="L67" s="121">
        <f t="shared" si="7"/>
        <v>-354.84999999999945</v>
      </c>
      <c r="M67" s="122">
        <f t="shared" si="2"/>
        <v>-5.5935535024929338E-2</v>
      </c>
      <c r="N67" s="249"/>
      <c r="O67" s="308">
        <v>9261.33</v>
      </c>
      <c r="P67" s="308">
        <v>8086.29</v>
      </c>
      <c r="Q67" s="121">
        <f t="shared" si="3"/>
        <v>-1175.04</v>
      </c>
      <c r="R67" s="122">
        <f t="shared" si="4"/>
        <v>-0.12687594546355652</v>
      </c>
      <c r="S67" s="249"/>
      <c r="T67" s="120">
        <v>12305.16</v>
      </c>
      <c r="U67" s="120">
        <v>11204.91</v>
      </c>
      <c r="V67" s="121">
        <f t="shared" si="5"/>
        <v>-1100.25</v>
      </c>
      <c r="W67" s="122">
        <f t="shared" si="6"/>
        <v>-8.9413709370703018E-2</v>
      </c>
      <c r="X67" s="778"/>
    </row>
    <row r="68" spans="1:24" s="244" customFormat="1" ht="46.5" customHeight="1" x14ac:dyDescent="0.2">
      <c r="A68" s="130">
        <v>2220</v>
      </c>
      <c r="B68" s="136" t="s">
        <v>130</v>
      </c>
      <c r="C68" s="311">
        <v>628599.46000000008</v>
      </c>
      <c r="D68" s="311">
        <v>601345.81000000006</v>
      </c>
      <c r="E68" s="311">
        <v>198611.04</v>
      </c>
      <c r="F68" s="311">
        <f>SUM(F69:F73)</f>
        <v>189780.2</v>
      </c>
      <c r="G68" s="121">
        <f t="shared" ref="G68:G131" si="27">F68-E68</f>
        <v>-8830.8399999999965</v>
      </c>
      <c r="H68" s="122">
        <f t="shared" ref="H68:H131" si="28">IFERROR(G68/ABS(E68), "-")</f>
        <v>-4.4462986548985374E-2</v>
      </c>
      <c r="I68" s="884"/>
      <c r="J68" s="311">
        <v>318384.79000000004</v>
      </c>
      <c r="K68" s="311">
        <f>SUM(K69:K73)</f>
        <v>302840.18999999994</v>
      </c>
      <c r="L68" s="121">
        <f t="shared" si="7"/>
        <v>-15544.600000000093</v>
      </c>
      <c r="M68" s="122">
        <f t="shared" si="2"/>
        <v>-4.8823312194028148E-2</v>
      </c>
      <c r="N68" s="884"/>
      <c r="O68" s="311">
        <v>424221.35000000003</v>
      </c>
      <c r="P68" s="311">
        <f>SUM(P69:P73)</f>
        <v>401172.39999999997</v>
      </c>
      <c r="Q68" s="121">
        <f t="shared" si="3"/>
        <v>-23048.95000000007</v>
      </c>
      <c r="R68" s="122">
        <f t="shared" si="4"/>
        <v>-5.4332366817464672E-2</v>
      </c>
      <c r="S68" s="881"/>
      <c r="T68" s="247">
        <v>601345.81000000006</v>
      </c>
      <c r="U68" s="247">
        <f>SUM(U69:U73)</f>
        <v>590935.90999999992</v>
      </c>
      <c r="V68" s="121">
        <f t="shared" si="5"/>
        <v>-10409.90000000014</v>
      </c>
      <c r="W68" s="122">
        <f t="shared" si="6"/>
        <v>-1.7311004461808985E-2</v>
      </c>
      <c r="X68" s="868"/>
    </row>
    <row r="69" spans="1:24" s="2" customFormat="1" ht="46.5" customHeight="1" x14ac:dyDescent="0.2">
      <c r="A69" s="243">
        <v>2221</v>
      </c>
      <c r="B69" s="133" t="s">
        <v>131</v>
      </c>
      <c r="C69" s="113">
        <v>258817.39</v>
      </c>
      <c r="D69" s="306">
        <v>229063.27999999997</v>
      </c>
      <c r="E69" s="306">
        <v>98466.68</v>
      </c>
      <c r="F69" s="306">
        <v>90381.42</v>
      </c>
      <c r="G69" s="114">
        <f t="shared" si="27"/>
        <v>-8085.2599999999948</v>
      </c>
      <c r="H69" s="115">
        <f t="shared" si="28"/>
        <v>-8.2111634108106374E-2</v>
      </c>
      <c r="I69" s="879"/>
      <c r="J69" s="306">
        <v>137324.24</v>
      </c>
      <c r="K69" s="306">
        <v>126270.41</v>
      </c>
      <c r="L69" s="114">
        <f t="shared" si="7"/>
        <v>-11053.829999999987</v>
      </c>
      <c r="M69" s="115">
        <f t="shared" si="2"/>
        <v>-8.049438322032576E-2</v>
      </c>
      <c r="N69" s="879"/>
      <c r="O69" s="306">
        <v>150408.64999999997</v>
      </c>
      <c r="P69" s="306">
        <v>139671.47</v>
      </c>
      <c r="Q69" s="114">
        <f t="shared" si="3"/>
        <v>-10737.179999999964</v>
      </c>
      <c r="R69" s="115">
        <f t="shared" si="4"/>
        <v>-7.1386718782463415E-2</v>
      </c>
      <c r="S69" s="882"/>
      <c r="T69" s="113">
        <v>229063.27999999997</v>
      </c>
      <c r="U69" s="113">
        <v>220934.47</v>
      </c>
      <c r="V69" s="114">
        <f t="shared" si="5"/>
        <v>-8128.8099999999686</v>
      </c>
      <c r="W69" s="115">
        <f t="shared" si="6"/>
        <v>-3.5487180660296012E-2</v>
      </c>
      <c r="X69" s="869"/>
    </row>
    <row r="70" spans="1:24" s="3" customFormat="1" ht="46.5" customHeight="1" x14ac:dyDescent="0.2">
      <c r="A70" s="243">
        <v>2222</v>
      </c>
      <c r="B70" s="133" t="s">
        <v>132</v>
      </c>
      <c r="C70" s="113">
        <v>45252.990000000005</v>
      </c>
      <c r="D70" s="306">
        <v>45091.210000000006</v>
      </c>
      <c r="E70" s="306">
        <v>10522.63</v>
      </c>
      <c r="F70" s="113">
        <v>10185.27</v>
      </c>
      <c r="G70" s="114">
        <f t="shared" si="27"/>
        <v>-337.35999999999876</v>
      </c>
      <c r="H70" s="115">
        <f t="shared" si="28"/>
        <v>-3.2060425958149133E-2</v>
      </c>
      <c r="I70" s="879"/>
      <c r="J70" s="306">
        <v>22010.5</v>
      </c>
      <c r="K70" s="113">
        <v>20578.8</v>
      </c>
      <c r="L70" s="114">
        <f t="shared" ref="L70:L134" si="29">K70-J70</f>
        <v>-1431.7000000000007</v>
      </c>
      <c r="M70" s="115">
        <f t="shared" ref="M70:M134" si="30">IFERROR(L70/ABS(J70), "-")</f>
        <v>-6.5046227936666617E-2</v>
      </c>
      <c r="N70" s="879"/>
      <c r="O70" s="306">
        <v>34462.69</v>
      </c>
      <c r="P70" s="306">
        <v>32044.05</v>
      </c>
      <c r="Q70" s="114">
        <f t="shared" ref="Q70:Q134" si="31">P70-O70</f>
        <v>-2418.6400000000031</v>
      </c>
      <c r="R70" s="115">
        <f t="shared" ref="R70:R134" si="32">IFERROR(Q70/ABS(O70), "-")</f>
        <v>-7.0181404875823764E-2</v>
      </c>
      <c r="S70" s="882"/>
      <c r="T70" s="113">
        <v>45091.210000000006</v>
      </c>
      <c r="U70" s="113">
        <v>45406.27</v>
      </c>
      <c r="V70" s="114">
        <f t="shared" ref="V70:V134" si="33">U70-T70</f>
        <v>315.0599999999904</v>
      </c>
      <c r="W70" s="115">
        <f t="shared" ref="W70:W134" si="34">IFERROR(V70/ABS(T70), "-")</f>
        <v>6.9871711138377156E-3</v>
      </c>
      <c r="X70" s="869"/>
    </row>
    <row r="71" spans="1:24" s="2" customFormat="1" ht="46.5" customHeight="1" x14ac:dyDescent="0.2">
      <c r="A71" s="243">
        <v>2223</v>
      </c>
      <c r="B71" s="133" t="s">
        <v>133</v>
      </c>
      <c r="C71" s="113">
        <v>234811.12</v>
      </c>
      <c r="D71" s="306">
        <v>237613.59</v>
      </c>
      <c r="E71" s="306">
        <v>67118.009999999995</v>
      </c>
      <c r="F71" s="113">
        <v>70045.440000000002</v>
      </c>
      <c r="G71" s="114">
        <f t="shared" si="27"/>
        <v>2927.4300000000076</v>
      </c>
      <c r="H71" s="115">
        <f t="shared" si="28"/>
        <v>4.3616162040561214E-2</v>
      </c>
      <c r="I71" s="879"/>
      <c r="J71" s="306">
        <v>115725.24</v>
      </c>
      <c r="K71" s="113">
        <v>110368.45</v>
      </c>
      <c r="L71" s="114">
        <f t="shared" si="29"/>
        <v>-5356.7900000000081</v>
      </c>
      <c r="M71" s="115">
        <f t="shared" si="30"/>
        <v>-4.6288864901036349E-2</v>
      </c>
      <c r="N71" s="879"/>
      <c r="O71" s="307">
        <v>173337.61</v>
      </c>
      <c r="P71" s="306">
        <v>161103.82</v>
      </c>
      <c r="Q71" s="114">
        <f t="shared" si="31"/>
        <v>-12233.789999999979</v>
      </c>
      <c r="R71" s="115">
        <f t="shared" si="32"/>
        <v>-7.0577816320416445E-2</v>
      </c>
      <c r="S71" s="882"/>
      <c r="T71" s="117">
        <v>237613.59</v>
      </c>
      <c r="U71" s="113">
        <v>232272.1</v>
      </c>
      <c r="V71" s="114">
        <f t="shared" si="33"/>
        <v>-5341.4899999999907</v>
      </c>
      <c r="W71" s="115">
        <f t="shared" si="34"/>
        <v>-2.2479732745925816E-2</v>
      </c>
      <c r="X71" s="869"/>
    </row>
    <row r="72" spans="1:24" s="2" customFormat="1" ht="46.5" customHeight="1" x14ac:dyDescent="0.2">
      <c r="A72" s="243">
        <v>2224</v>
      </c>
      <c r="B72" s="133" t="s">
        <v>134</v>
      </c>
      <c r="C72" s="113">
        <v>89717.960000000021</v>
      </c>
      <c r="D72" s="306">
        <v>89577.73000000001</v>
      </c>
      <c r="E72" s="306">
        <v>22503.72</v>
      </c>
      <c r="F72" s="113">
        <v>19168.07</v>
      </c>
      <c r="G72" s="114">
        <f t="shared" si="27"/>
        <v>-3335.6500000000015</v>
      </c>
      <c r="H72" s="115">
        <f t="shared" si="28"/>
        <v>-0.14822660431253148</v>
      </c>
      <c r="I72" s="879"/>
      <c r="J72" s="306">
        <v>43324.810000000005</v>
      </c>
      <c r="K72" s="113">
        <v>45622.53</v>
      </c>
      <c r="L72" s="114">
        <f t="shared" si="29"/>
        <v>2297.7199999999939</v>
      </c>
      <c r="M72" s="115">
        <f t="shared" si="30"/>
        <v>5.3034739217552106E-2</v>
      </c>
      <c r="N72" s="879"/>
      <c r="O72" s="306">
        <v>66012.400000000009</v>
      </c>
      <c r="P72" s="306">
        <v>68353.06</v>
      </c>
      <c r="Q72" s="114">
        <f t="shared" si="31"/>
        <v>2340.6599999999889</v>
      </c>
      <c r="R72" s="115">
        <f t="shared" si="32"/>
        <v>3.5457883670340549E-2</v>
      </c>
      <c r="S72" s="882"/>
      <c r="T72" s="113">
        <v>89577.73000000001</v>
      </c>
      <c r="U72" s="113">
        <v>92323.07</v>
      </c>
      <c r="V72" s="114">
        <f t="shared" si="33"/>
        <v>2745.3399999999965</v>
      </c>
      <c r="W72" s="115">
        <f t="shared" si="34"/>
        <v>3.0647572783994371E-2</v>
      </c>
      <c r="X72" s="869"/>
    </row>
    <row r="73" spans="1:24" s="2" customFormat="1" ht="46.5" customHeight="1" x14ac:dyDescent="0.2">
      <c r="A73" s="243">
        <v>2229</v>
      </c>
      <c r="B73" s="133" t="s">
        <v>135</v>
      </c>
      <c r="C73" s="113">
        <v>0</v>
      </c>
      <c r="D73" s="306">
        <v>0</v>
      </c>
      <c r="E73" s="306">
        <v>0</v>
      </c>
      <c r="F73" s="113"/>
      <c r="G73" s="114">
        <f t="shared" si="27"/>
        <v>0</v>
      </c>
      <c r="H73" s="115" t="str">
        <f t="shared" si="28"/>
        <v>-</v>
      </c>
      <c r="I73" s="880"/>
      <c r="J73" s="306">
        <v>0</v>
      </c>
      <c r="K73" s="113"/>
      <c r="L73" s="114">
        <f t="shared" si="29"/>
        <v>0</v>
      </c>
      <c r="M73" s="115" t="str">
        <f t="shared" si="30"/>
        <v>-</v>
      </c>
      <c r="N73" s="880"/>
      <c r="O73" s="306">
        <v>0</v>
      </c>
      <c r="P73" s="306"/>
      <c r="Q73" s="114">
        <f t="shared" si="31"/>
        <v>0</v>
      </c>
      <c r="R73" s="115" t="str">
        <f t="shared" si="32"/>
        <v>-</v>
      </c>
      <c r="S73" s="883"/>
      <c r="T73" s="113">
        <v>0</v>
      </c>
      <c r="U73" s="113"/>
      <c r="V73" s="114">
        <f t="shared" si="33"/>
        <v>0</v>
      </c>
      <c r="W73" s="115" t="str">
        <f t="shared" si="34"/>
        <v>-</v>
      </c>
      <c r="X73" s="870"/>
    </row>
    <row r="74" spans="1:24" s="244" customFormat="1" ht="46.5" customHeight="1" x14ac:dyDescent="0.2">
      <c r="A74" s="130">
        <v>2230</v>
      </c>
      <c r="B74" s="136" t="s">
        <v>136</v>
      </c>
      <c r="C74" s="237">
        <v>575810</v>
      </c>
      <c r="D74" s="311">
        <v>565854.69999999995</v>
      </c>
      <c r="E74" s="311">
        <v>128571.18</v>
      </c>
      <c r="F74" s="311">
        <f>SUM(F75:F81)</f>
        <v>135196.28999999998</v>
      </c>
      <c r="G74" s="121">
        <f t="shared" si="27"/>
        <v>6625.109999999986</v>
      </c>
      <c r="H74" s="122">
        <f t="shared" si="28"/>
        <v>5.1528732955550272E-2</v>
      </c>
      <c r="I74" s="888" t="s">
        <v>137</v>
      </c>
      <c r="J74" s="311">
        <v>264330.96000000002</v>
      </c>
      <c r="K74" s="311">
        <f>SUM(K75:K81)</f>
        <v>304593.37</v>
      </c>
      <c r="L74" s="121">
        <f t="shared" si="29"/>
        <v>40262.409999999974</v>
      </c>
      <c r="M74" s="122">
        <f t="shared" si="30"/>
        <v>0.15231817718212037</v>
      </c>
      <c r="N74" s="864" t="s">
        <v>138</v>
      </c>
      <c r="O74" s="311">
        <v>414139.71</v>
      </c>
      <c r="P74" s="311">
        <f>SUM(P75:P81)</f>
        <v>428689.39</v>
      </c>
      <c r="Q74" s="121">
        <f t="shared" si="31"/>
        <v>14549.679999999993</v>
      </c>
      <c r="R74" s="122">
        <f t="shared" si="32"/>
        <v>3.5132298711466219E-2</v>
      </c>
      <c r="S74" s="872" t="s">
        <v>139</v>
      </c>
      <c r="T74" s="247">
        <v>565854.69999999995</v>
      </c>
      <c r="U74" s="247">
        <f>SUM(U75:U81)</f>
        <v>594768.04999999993</v>
      </c>
      <c r="V74" s="121">
        <f t="shared" si="33"/>
        <v>28913.349999999977</v>
      </c>
      <c r="W74" s="122">
        <f t="shared" si="34"/>
        <v>5.1096774489988291E-2</v>
      </c>
      <c r="X74" s="854" t="s">
        <v>140</v>
      </c>
    </row>
    <row r="75" spans="1:24" s="3" customFormat="1" ht="46.5" customHeight="1" x14ac:dyDescent="0.2">
      <c r="A75" s="243">
        <v>2231</v>
      </c>
      <c r="B75" s="133" t="s">
        <v>141</v>
      </c>
      <c r="C75" s="113">
        <v>0</v>
      </c>
      <c r="D75" s="306">
        <v>0</v>
      </c>
      <c r="E75" s="306">
        <v>0</v>
      </c>
      <c r="F75" s="306"/>
      <c r="G75" s="114">
        <f t="shared" si="27"/>
        <v>0</v>
      </c>
      <c r="H75" s="115" t="str">
        <f t="shared" si="28"/>
        <v>-</v>
      </c>
      <c r="I75" s="889"/>
      <c r="J75" s="306">
        <v>0</v>
      </c>
      <c r="K75" s="306"/>
      <c r="L75" s="114">
        <f t="shared" si="29"/>
        <v>0</v>
      </c>
      <c r="M75" s="115" t="str">
        <f t="shared" si="30"/>
        <v>-</v>
      </c>
      <c r="N75" s="865"/>
      <c r="O75" s="306">
        <v>0</v>
      </c>
      <c r="P75" s="306"/>
      <c r="Q75" s="114">
        <f t="shared" si="31"/>
        <v>0</v>
      </c>
      <c r="R75" s="115" t="str">
        <f t="shared" si="32"/>
        <v>-</v>
      </c>
      <c r="S75" s="873"/>
      <c r="T75" s="113">
        <v>0</v>
      </c>
      <c r="U75" s="113"/>
      <c r="V75" s="114">
        <f t="shared" si="33"/>
        <v>0</v>
      </c>
      <c r="W75" s="115" t="str">
        <f t="shared" si="34"/>
        <v>-</v>
      </c>
      <c r="X75" s="855"/>
    </row>
    <row r="76" spans="1:24" s="2" customFormat="1" ht="46.5" customHeight="1" x14ac:dyDescent="0.2">
      <c r="A76" s="243">
        <v>2232</v>
      </c>
      <c r="B76" s="133" t="s">
        <v>142</v>
      </c>
      <c r="C76" s="113">
        <v>0</v>
      </c>
      <c r="D76" s="306">
        <v>0</v>
      </c>
      <c r="E76" s="306">
        <v>0</v>
      </c>
      <c r="F76" s="306"/>
      <c r="G76" s="114">
        <f t="shared" si="27"/>
        <v>0</v>
      </c>
      <c r="H76" s="115" t="str">
        <f t="shared" si="28"/>
        <v>-</v>
      </c>
      <c r="I76" s="889"/>
      <c r="J76" s="306">
        <v>0</v>
      </c>
      <c r="K76" s="306"/>
      <c r="L76" s="114">
        <f t="shared" si="29"/>
        <v>0</v>
      </c>
      <c r="M76" s="115" t="str">
        <f t="shared" si="30"/>
        <v>-</v>
      </c>
      <c r="N76" s="865"/>
      <c r="O76" s="306">
        <v>0</v>
      </c>
      <c r="P76" s="306"/>
      <c r="Q76" s="114">
        <f t="shared" si="31"/>
        <v>0</v>
      </c>
      <c r="R76" s="115" t="str">
        <f t="shared" si="32"/>
        <v>-</v>
      </c>
      <c r="S76" s="873"/>
      <c r="T76" s="113">
        <v>0</v>
      </c>
      <c r="U76" s="113"/>
      <c r="V76" s="114">
        <f t="shared" si="33"/>
        <v>0</v>
      </c>
      <c r="W76" s="115" t="str">
        <f t="shared" si="34"/>
        <v>-</v>
      </c>
      <c r="X76" s="855"/>
    </row>
    <row r="77" spans="1:24" s="2" customFormat="1" ht="46.5" customHeight="1" x14ac:dyDescent="0.2">
      <c r="A77" s="243">
        <v>2233</v>
      </c>
      <c r="B77" s="133" t="s">
        <v>143</v>
      </c>
      <c r="C77" s="113">
        <v>23785.559999999998</v>
      </c>
      <c r="D77" s="306">
        <v>20553.18</v>
      </c>
      <c r="E77" s="306">
        <v>5200.79</v>
      </c>
      <c r="F77" s="306">
        <v>3351.91</v>
      </c>
      <c r="G77" s="114">
        <f t="shared" si="27"/>
        <v>-1848.88</v>
      </c>
      <c r="H77" s="115">
        <f t="shared" si="28"/>
        <v>-0.35549983752468378</v>
      </c>
      <c r="I77" s="889"/>
      <c r="J77" s="306">
        <v>9147.9</v>
      </c>
      <c r="K77" s="306">
        <v>8751.51</v>
      </c>
      <c r="L77" s="114">
        <f t="shared" si="29"/>
        <v>-396.38999999999942</v>
      </c>
      <c r="M77" s="115">
        <f t="shared" si="30"/>
        <v>-4.3331256353917227E-2</v>
      </c>
      <c r="N77" s="865"/>
      <c r="O77" s="306">
        <v>16483.02</v>
      </c>
      <c r="P77" s="306">
        <v>12251.89</v>
      </c>
      <c r="Q77" s="114">
        <f t="shared" si="31"/>
        <v>-4231.130000000001</v>
      </c>
      <c r="R77" s="115">
        <f t="shared" si="32"/>
        <v>-0.25669628502543834</v>
      </c>
      <c r="S77" s="873"/>
      <c r="T77" s="113">
        <v>20553.18</v>
      </c>
      <c r="U77" s="113">
        <v>20526.64</v>
      </c>
      <c r="V77" s="114">
        <f t="shared" si="33"/>
        <v>-26.540000000000873</v>
      </c>
      <c r="W77" s="115">
        <f t="shared" si="34"/>
        <v>-1.2912843657283629E-3</v>
      </c>
      <c r="X77" s="855"/>
    </row>
    <row r="78" spans="1:24" s="2" customFormat="1" ht="46.5" customHeight="1" x14ac:dyDescent="0.2">
      <c r="A78" s="243">
        <v>2234</v>
      </c>
      <c r="B78" s="133" t="s">
        <v>144</v>
      </c>
      <c r="C78" s="113">
        <v>0</v>
      </c>
      <c r="D78" s="306">
        <v>0</v>
      </c>
      <c r="E78" s="306">
        <v>0</v>
      </c>
      <c r="F78" s="306"/>
      <c r="G78" s="114">
        <f t="shared" si="27"/>
        <v>0</v>
      </c>
      <c r="H78" s="115" t="str">
        <f t="shared" si="28"/>
        <v>-</v>
      </c>
      <c r="I78" s="889"/>
      <c r="J78" s="306">
        <v>0</v>
      </c>
      <c r="K78" s="306"/>
      <c r="L78" s="114">
        <f t="shared" si="29"/>
        <v>0</v>
      </c>
      <c r="M78" s="115" t="str">
        <f t="shared" si="30"/>
        <v>-</v>
      </c>
      <c r="N78" s="865"/>
      <c r="O78" s="306">
        <v>0</v>
      </c>
      <c r="P78" s="306"/>
      <c r="Q78" s="114">
        <f t="shared" si="31"/>
        <v>0</v>
      </c>
      <c r="R78" s="115" t="str">
        <f t="shared" si="32"/>
        <v>-</v>
      </c>
      <c r="S78" s="873"/>
      <c r="T78" s="113">
        <v>0</v>
      </c>
      <c r="U78" s="113"/>
      <c r="V78" s="114">
        <f t="shared" si="33"/>
        <v>0</v>
      </c>
      <c r="W78" s="115" t="str">
        <f t="shared" si="34"/>
        <v>-</v>
      </c>
      <c r="X78" s="855"/>
    </row>
    <row r="79" spans="1:24" s="2" customFormat="1" ht="46.5" customHeight="1" x14ac:dyDescent="0.2">
      <c r="A79" s="243">
        <v>2235</v>
      </c>
      <c r="B79" s="133" t="s">
        <v>145</v>
      </c>
      <c r="C79" s="113">
        <v>10525.289999999999</v>
      </c>
      <c r="D79" s="306">
        <v>9341.7900000000009</v>
      </c>
      <c r="E79" s="306">
        <v>2470.3000000000002</v>
      </c>
      <c r="F79" s="306">
        <v>1804.87</v>
      </c>
      <c r="G79" s="114">
        <f t="shared" si="27"/>
        <v>-665.43000000000029</v>
      </c>
      <c r="H79" s="115">
        <f t="shared" si="28"/>
        <v>-0.26937214103550183</v>
      </c>
      <c r="I79" s="889"/>
      <c r="J79" s="306">
        <v>4665.05</v>
      </c>
      <c r="K79" s="306">
        <v>2959.87</v>
      </c>
      <c r="L79" s="114">
        <f t="shared" si="29"/>
        <v>-1705.1800000000003</v>
      </c>
      <c r="M79" s="115">
        <f t="shared" si="30"/>
        <v>-0.36552234166836373</v>
      </c>
      <c r="N79" s="865"/>
      <c r="O79" s="307">
        <v>7302.05</v>
      </c>
      <c r="P79" s="306">
        <v>3392.24</v>
      </c>
      <c r="Q79" s="114">
        <f t="shared" si="31"/>
        <v>-3909.8100000000004</v>
      </c>
      <c r="R79" s="115">
        <f t="shared" si="32"/>
        <v>-0.53544004765784958</v>
      </c>
      <c r="S79" s="873"/>
      <c r="T79" s="117">
        <v>9341.7900000000009</v>
      </c>
      <c r="U79" s="113">
        <v>7424.42</v>
      </c>
      <c r="V79" s="114">
        <f t="shared" si="33"/>
        <v>-1917.3700000000008</v>
      </c>
      <c r="W79" s="115">
        <f t="shared" si="34"/>
        <v>-0.20524653198155821</v>
      </c>
      <c r="X79" s="855"/>
    </row>
    <row r="80" spans="1:24" s="2" customFormat="1" ht="46.5" customHeight="1" x14ac:dyDescent="0.2">
      <c r="A80" s="243">
        <v>2236</v>
      </c>
      <c r="B80" s="133" t="s">
        <v>146</v>
      </c>
      <c r="C80" s="113">
        <v>8307.83</v>
      </c>
      <c r="D80" s="306">
        <v>8411.31</v>
      </c>
      <c r="E80" s="306">
        <v>2310.44</v>
      </c>
      <c r="F80" s="306">
        <v>2689.33</v>
      </c>
      <c r="G80" s="114">
        <f t="shared" si="27"/>
        <v>378.88999999999987</v>
      </c>
      <c r="H80" s="115">
        <f t="shared" si="28"/>
        <v>0.163990408753311</v>
      </c>
      <c r="I80" s="889"/>
      <c r="J80" s="306">
        <v>4317.4699999999993</v>
      </c>
      <c r="K80" s="306">
        <v>4983.74</v>
      </c>
      <c r="L80" s="114">
        <f t="shared" si="29"/>
        <v>666.27000000000044</v>
      </c>
      <c r="M80" s="115">
        <f t="shared" si="30"/>
        <v>0.15431954362161185</v>
      </c>
      <c r="N80" s="865"/>
      <c r="O80" s="306">
        <v>6284.329999999999</v>
      </c>
      <c r="P80" s="306">
        <v>7270.51</v>
      </c>
      <c r="Q80" s="114">
        <f t="shared" si="31"/>
        <v>986.1800000000012</v>
      </c>
      <c r="R80" s="115">
        <f t="shared" si="32"/>
        <v>0.15692683229556711</v>
      </c>
      <c r="S80" s="873"/>
      <c r="T80" s="113">
        <v>8411.31</v>
      </c>
      <c r="U80" s="113">
        <v>9293.64</v>
      </c>
      <c r="V80" s="114">
        <f t="shared" si="33"/>
        <v>882.32999999999993</v>
      </c>
      <c r="W80" s="115">
        <f t="shared" si="34"/>
        <v>0.1048980479853911</v>
      </c>
      <c r="X80" s="855"/>
    </row>
    <row r="81" spans="1:24" s="2" customFormat="1" ht="46.5" customHeight="1" x14ac:dyDescent="0.2">
      <c r="A81" s="243">
        <v>2239</v>
      </c>
      <c r="B81" s="133" t="s">
        <v>147</v>
      </c>
      <c r="C81" s="113">
        <v>533191.32000000007</v>
      </c>
      <c r="D81" s="306">
        <v>527548.42000000004</v>
      </c>
      <c r="E81" s="306">
        <v>118589.65</v>
      </c>
      <c r="F81" s="306">
        <v>127350.18</v>
      </c>
      <c r="G81" s="114">
        <f t="shared" si="27"/>
        <v>8760.5299999999988</v>
      </c>
      <c r="H81" s="115">
        <f t="shared" si="28"/>
        <v>7.3872635596782685E-2</v>
      </c>
      <c r="I81" s="890"/>
      <c r="J81" s="306">
        <v>246200.54</v>
      </c>
      <c r="K81" s="306">
        <v>287898.25</v>
      </c>
      <c r="L81" s="114">
        <f t="shared" si="29"/>
        <v>41697.709999999992</v>
      </c>
      <c r="M81" s="115">
        <f t="shared" si="30"/>
        <v>0.16936481942728474</v>
      </c>
      <c r="N81" s="866"/>
      <c r="O81" s="306">
        <v>384070.31</v>
      </c>
      <c r="P81" s="306">
        <v>405774.75</v>
      </c>
      <c r="Q81" s="114">
        <f t="shared" si="31"/>
        <v>21704.440000000002</v>
      </c>
      <c r="R81" s="115">
        <f t="shared" si="32"/>
        <v>5.6511631945723693E-2</v>
      </c>
      <c r="S81" s="874"/>
      <c r="T81" s="113">
        <v>527548.42000000004</v>
      </c>
      <c r="U81" s="113">
        <v>557523.35</v>
      </c>
      <c r="V81" s="114">
        <f t="shared" si="33"/>
        <v>29974.929999999935</v>
      </c>
      <c r="W81" s="115">
        <f t="shared" si="34"/>
        <v>5.6819296321653154E-2</v>
      </c>
      <c r="X81" s="856"/>
    </row>
    <row r="82" spans="1:24" s="250" customFormat="1" ht="46.5" customHeight="1" x14ac:dyDescent="0.2">
      <c r="A82" s="130">
        <v>2240</v>
      </c>
      <c r="B82" s="136" t="s">
        <v>148</v>
      </c>
      <c r="C82" s="311">
        <v>453751.93999999994</v>
      </c>
      <c r="D82" s="311">
        <v>432843.15999999992</v>
      </c>
      <c r="E82" s="311">
        <v>50615.42</v>
      </c>
      <c r="F82" s="311">
        <f>SUM(F83:F88)</f>
        <v>57161.86</v>
      </c>
      <c r="G82" s="121">
        <f t="shared" si="27"/>
        <v>6546.4400000000023</v>
      </c>
      <c r="H82" s="122">
        <f t="shared" si="28"/>
        <v>0.12933687006844954</v>
      </c>
      <c r="I82" s="899" t="s">
        <v>149</v>
      </c>
      <c r="J82" s="311">
        <v>141594.29999999999</v>
      </c>
      <c r="K82" s="311">
        <f>SUM(K83:K88)</f>
        <v>130430.29000000001</v>
      </c>
      <c r="L82" s="121">
        <f t="shared" si="29"/>
        <v>-11164.00999999998</v>
      </c>
      <c r="M82" s="122">
        <f t="shared" si="30"/>
        <v>-7.8845052378520755E-2</v>
      </c>
      <c r="N82" s="867" t="s">
        <v>150</v>
      </c>
      <c r="O82" s="311">
        <v>292031.62999999995</v>
      </c>
      <c r="P82" s="311">
        <f>SUM(P83:P88)</f>
        <v>221020.27000000002</v>
      </c>
      <c r="Q82" s="121">
        <f t="shared" si="31"/>
        <v>-71011.359999999928</v>
      </c>
      <c r="R82" s="122">
        <f t="shared" si="32"/>
        <v>-0.24316324913160928</v>
      </c>
      <c r="S82" s="867" t="s">
        <v>151</v>
      </c>
      <c r="T82" s="247">
        <v>432843.15999999992</v>
      </c>
      <c r="U82" s="247">
        <f>SUM(U83:U88)</f>
        <v>311552.82</v>
      </c>
      <c r="V82" s="121">
        <f t="shared" si="33"/>
        <v>-121290.33999999991</v>
      </c>
      <c r="W82" s="122">
        <f t="shared" si="34"/>
        <v>-0.28021775832151291</v>
      </c>
      <c r="X82" s="854" t="s">
        <v>152</v>
      </c>
    </row>
    <row r="83" spans="1:24" s="2" customFormat="1" ht="46.5" customHeight="1" x14ac:dyDescent="0.2">
      <c r="A83" s="243">
        <v>2241</v>
      </c>
      <c r="B83" s="133" t="s">
        <v>153</v>
      </c>
      <c r="C83" s="306">
        <v>85687.09</v>
      </c>
      <c r="D83" s="306">
        <v>78858.13</v>
      </c>
      <c r="E83" s="306">
        <v>0</v>
      </c>
      <c r="F83" s="113"/>
      <c r="G83" s="114">
        <f t="shared" si="27"/>
        <v>0</v>
      </c>
      <c r="H83" s="115" t="str">
        <f t="shared" si="28"/>
        <v>-</v>
      </c>
      <c r="I83" s="889"/>
      <c r="J83" s="306">
        <v>1004.36</v>
      </c>
      <c r="K83" s="113">
        <v>0</v>
      </c>
      <c r="L83" s="114">
        <f t="shared" si="29"/>
        <v>-1004.36</v>
      </c>
      <c r="M83" s="115">
        <f t="shared" si="30"/>
        <v>-1</v>
      </c>
      <c r="N83" s="865"/>
      <c r="O83" s="307">
        <v>39681.06</v>
      </c>
      <c r="P83" s="306">
        <v>0</v>
      </c>
      <c r="Q83" s="114">
        <f t="shared" si="31"/>
        <v>-39681.06</v>
      </c>
      <c r="R83" s="115">
        <f t="shared" si="32"/>
        <v>-1</v>
      </c>
      <c r="S83" s="865"/>
      <c r="T83" s="117">
        <v>78858.13</v>
      </c>
      <c r="U83" s="113">
        <v>1556.81</v>
      </c>
      <c r="V83" s="114">
        <f t="shared" si="33"/>
        <v>-77301.320000000007</v>
      </c>
      <c r="W83" s="115">
        <f t="shared" si="34"/>
        <v>-0.98025809133440023</v>
      </c>
      <c r="X83" s="855"/>
    </row>
    <row r="84" spans="1:24" s="2" customFormat="1" ht="46.5" customHeight="1" x14ac:dyDescent="0.2">
      <c r="A84" s="243">
        <v>2242</v>
      </c>
      <c r="B84" s="133" t="s">
        <v>154</v>
      </c>
      <c r="C84" s="306">
        <v>3312.29</v>
      </c>
      <c r="D84" s="306">
        <v>3418.9599999999996</v>
      </c>
      <c r="E84" s="306">
        <v>206.57</v>
      </c>
      <c r="F84" s="117">
        <v>207.32</v>
      </c>
      <c r="G84" s="134">
        <f t="shared" si="27"/>
        <v>0.75</v>
      </c>
      <c r="H84" s="135">
        <f t="shared" si="28"/>
        <v>3.6307305029771989E-3</v>
      </c>
      <c r="I84" s="889"/>
      <c r="J84" s="306">
        <v>2115.56</v>
      </c>
      <c r="K84" s="117">
        <v>1523.23</v>
      </c>
      <c r="L84" s="134">
        <f t="shared" si="29"/>
        <v>-592.32999999999993</v>
      </c>
      <c r="M84" s="135">
        <f t="shared" si="30"/>
        <v>-0.27998733195938663</v>
      </c>
      <c r="N84" s="865"/>
      <c r="O84" s="307">
        <v>2498.7799999999997</v>
      </c>
      <c r="P84" s="307">
        <v>2837.74</v>
      </c>
      <c r="Q84" s="114">
        <f t="shared" si="31"/>
        <v>338.96000000000004</v>
      </c>
      <c r="R84" s="115">
        <f t="shared" si="32"/>
        <v>0.13565019729628061</v>
      </c>
      <c r="S84" s="865"/>
      <c r="T84" s="117">
        <v>3418.9599999999996</v>
      </c>
      <c r="U84" s="117">
        <v>3431.72</v>
      </c>
      <c r="V84" s="114">
        <f t="shared" si="33"/>
        <v>12.760000000000218</v>
      </c>
      <c r="W84" s="115">
        <f t="shared" si="34"/>
        <v>3.7321290684887275E-3</v>
      </c>
      <c r="X84" s="855"/>
    </row>
    <row r="85" spans="1:24" s="2" customFormat="1" ht="46.5" customHeight="1" x14ac:dyDescent="0.2">
      <c r="A85" s="243">
        <v>2243</v>
      </c>
      <c r="B85" s="133" t="s">
        <v>155</v>
      </c>
      <c r="C85" s="306">
        <v>202202.95000000004</v>
      </c>
      <c r="D85" s="306">
        <v>205531.75000000003</v>
      </c>
      <c r="E85" s="306">
        <v>20944.349999999999</v>
      </c>
      <c r="F85" s="113">
        <v>31302.28</v>
      </c>
      <c r="G85" s="114">
        <f t="shared" si="27"/>
        <v>10357.93</v>
      </c>
      <c r="H85" s="135">
        <f t="shared" si="28"/>
        <v>0.49454530696822774</v>
      </c>
      <c r="I85" s="889"/>
      <c r="J85" s="306">
        <v>76631.819999999992</v>
      </c>
      <c r="K85" s="113">
        <v>79127.289999999994</v>
      </c>
      <c r="L85" s="114">
        <f t="shared" si="29"/>
        <v>2495.4700000000012</v>
      </c>
      <c r="M85" s="115">
        <f t="shared" si="30"/>
        <v>3.2564409927886374E-2</v>
      </c>
      <c r="N85" s="865"/>
      <c r="O85" s="306">
        <v>148902.90000000002</v>
      </c>
      <c r="P85" s="306">
        <v>135620.28</v>
      </c>
      <c r="Q85" s="114">
        <f t="shared" si="31"/>
        <v>-13282.620000000024</v>
      </c>
      <c r="R85" s="115">
        <f t="shared" si="32"/>
        <v>-8.9203232442081531E-2</v>
      </c>
      <c r="S85" s="865"/>
      <c r="T85" s="113">
        <v>205531.75000000003</v>
      </c>
      <c r="U85" s="113">
        <v>199967.89</v>
      </c>
      <c r="V85" s="114">
        <f t="shared" si="33"/>
        <v>-5563.8600000000151</v>
      </c>
      <c r="W85" s="115">
        <f t="shared" si="34"/>
        <v>-2.7070562090771935E-2</v>
      </c>
      <c r="X85" s="855"/>
    </row>
    <row r="86" spans="1:24" s="2" customFormat="1" ht="46.5" customHeight="1" x14ac:dyDescent="0.2">
      <c r="A86" s="243">
        <v>2244</v>
      </c>
      <c r="B86" s="133" t="s">
        <v>156</v>
      </c>
      <c r="C86" s="306">
        <v>22186.700000000004</v>
      </c>
      <c r="D86" s="306">
        <v>21822.250000000004</v>
      </c>
      <c r="E86" s="306">
        <v>4410.2000000000007</v>
      </c>
      <c r="F86" s="113">
        <v>4022.5</v>
      </c>
      <c r="G86" s="114">
        <f t="shared" si="27"/>
        <v>-387.70000000000073</v>
      </c>
      <c r="H86" s="115">
        <f t="shared" si="28"/>
        <v>-8.7909845358487296E-2</v>
      </c>
      <c r="I86" s="889"/>
      <c r="J86" s="306">
        <v>9807.94</v>
      </c>
      <c r="K86" s="113">
        <v>10961.13</v>
      </c>
      <c r="L86" s="114">
        <f t="shared" si="29"/>
        <v>1153.1899999999987</v>
      </c>
      <c r="M86" s="115">
        <f t="shared" si="30"/>
        <v>0.11757718746240277</v>
      </c>
      <c r="N86" s="865"/>
      <c r="O86" s="307">
        <v>17949.05</v>
      </c>
      <c r="P86" s="306">
        <v>25597.11</v>
      </c>
      <c r="Q86" s="114">
        <f t="shared" si="31"/>
        <v>7648.0600000000013</v>
      </c>
      <c r="R86" s="115">
        <f t="shared" si="32"/>
        <v>0.42609831718113222</v>
      </c>
      <c r="S86" s="865"/>
      <c r="T86" s="117">
        <v>21822.250000000004</v>
      </c>
      <c r="U86" s="113">
        <v>30496.53</v>
      </c>
      <c r="V86" s="114">
        <f t="shared" si="33"/>
        <v>8674.2799999999952</v>
      </c>
      <c r="W86" s="115">
        <f t="shared" si="34"/>
        <v>0.39749705002921304</v>
      </c>
      <c r="X86" s="855"/>
    </row>
    <row r="87" spans="1:24" s="2" customFormat="1" ht="46.5" customHeight="1" x14ac:dyDescent="0.2">
      <c r="A87" s="243">
        <v>2247</v>
      </c>
      <c r="B87" s="133" t="s">
        <v>157</v>
      </c>
      <c r="C87" s="306">
        <v>3610.4799999999996</v>
      </c>
      <c r="D87" s="306">
        <v>3636.08</v>
      </c>
      <c r="E87" s="306">
        <v>2808.68</v>
      </c>
      <c r="F87" s="113">
        <f>18.3+810.6</f>
        <v>828.9</v>
      </c>
      <c r="G87" s="114">
        <f t="shared" si="27"/>
        <v>-1979.7799999999997</v>
      </c>
      <c r="H87" s="115">
        <f t="shared" si="28"/>
        <v>-0.70487916031730202</v>
      </c>
      <c r="I87" s="889"/>
      <c r="J87" s="306">
        <v>3251.29</v>
      </c>
      <c r="K87" s="113">
        <f>30.5+4043.38</f>
        <v>4073.88</v>
      </c>
      <c r="L87" s="134">
        <f t="shared" si="29"/>
        <v>822.59000000000015</v>
      </c>
      <c r="M87" s="135">
        <f t="shared" si="30"/>
        <v>0.25300419218218007</v>
      </c>
      <c r="N87" s="865"/>
      <c r="O87" s="307">
        <v>3479.96</v>
      </c>
      <c r="P87" s="306">
        <f>30.5+4168</f>
        <v>4198.5</v>
      </c>
      <c r="Q87" s="114">
        <f t="shared" si="31"/>
        <v>718.54</v>
      </c>
      <c r="R87" s="115">
        <f t="shared" si="32"/>
        <v>0.20647938482051517</v>
      </c>
      <c r="S87" s="865"/>
      <c r="T87" s="117">
        <v>3636.08</v>
      </c>
      <c r="U87" s="113">
        <v>4264.07</v>
      </c>
      <c r="V87" s="114">
        <f t="shared" si="33"/>
        <v>627.98999999999978</v>
      </c>
      <c r="W87" s="115">
        <f t="shared" si="34"/>
        <v>0.17271072143627197</v>
      </c>
      <c r="X87" s="855"/>
    </row>
    <row r="88" spans="1:24" s="2" customFormat="1" ht="46.5" customHeight="1" x14ac:dyDescent="0.2">
      <c r="A88" s="243">
        <v>2249</v>
      </c>
      <c r="B88" s="133" t="s">
        <v>158</v>
      </c>
      <c r="C88" s="306">
        <v>136752.43000000002</v>
      </c>
      <c r="D88" s="306">
        <v>119575.99000000002</v>
      </c>
      <c r="E88" s="306">
        <v>22245.620000000003</v>
      </c>
      <c r="F88" s="113">
        <v>20800.86</v>
      </c>
      <c r="G88" s="114">
        <f t="shared" si="27"/>
        <v>-1444.760000000002</v>
      </c>
      <c r="H88" s="115">
        <f t="shared" si="28"/>
        <v>-6.494581854765126E-2</v>
      </c>
      <c r="I88" s="890"/>
      <c r="J88" s="306">
        <v>48783.330000000009</v>
      </c>
      <c r="K88" s="113">
        <v>34744.76</v>
      </c>
      <c r="L88" s="114">
        <f t="shared" si="29"/>
        <v>-14038.570000000007</v>
      </c>
      <c r="M88" s="115">
        <f t="shared" si="30"/>
        <v>-0.28777391785267642</v>
      </c>
      <c r="N88" s="866"/>
      <c r="O88" s="306">
        <v>79519.88</v>
      </c>
      <c r="P88" s="306">
        <f>52766.64</f>
        <v>52766.64</v>
      </c>
      <c r="Q88" s="114">
        <f t="shared" si="31"/>
        <v>-26753.240000000005</v>
      </c>
      <c r="R88" s="115">
        <f t="shared" si="32"/>
        <v>-0.33643461232587379</v>
      </c>
      <c r="S88" s="866"/>
      <c r="T88" s="113">
        <v>119575.99000000002</v>
      </c>
      <c r="U88" s="113">
        <v>71835.8</v>
      </c>
      <c r="V88" s="114">
        <f t="shared" si="33"/>
        <v>-47740.190000000017</v>
      </c>
      <c r="W88" s="115">
        <f t="shared" si="34"/>
        <v>-0.39924561778664769</v>
      </c>
      <c r="X88" s="856"/>
    </row>
    <row r="89" spans="1:24" s="244" customFormat="1" ht="63" customHeight="1" x14ac:dyDescent="0.2">
      <c r="A89" s="130">
        <v>2250</v>
      </c>
      <c r="B89" s="139" t="s">
        <v>159</v>
      </c>
      <c r="C89" s="308">
        <v>226822.99</v>
      </c>
      <c r="D89" s="308">
        <v>221151.00999999998</v>
      </c>
      <c r="E89" s="308">
        <v>53474.29</v>
      </c>
      <c r="F89" s="308">
        <v>46009.21</v>
      </c>
      <c r="G89" s="251">
        <f t="shared" si="27"/>
        <v>-7465.0800000000017</v>
      </c>
      <c r="H89" s="252">
        <f t="shared" si="28"/>
        <v>-0.13960129250897957</v>
      </c>
      <c r="I89" s="352"/>
      <c r="J89" s="308">
        <v>121561.76999999999</v>
      </c>
      <c r="K89" s="308">
        <f>83567.48+35399.87</f>
        <v>118967.35</v>
      </c>
      <c r="L89" s="251">
        <f t="shared" si="29"/>
        <v>-2594.4199999999837</v>
      </c>
      <c r="M89" s="252">
        <f t="shared" si="30"/>
        <v>-2.1342400657706644E-2</v>
      </c>
      <c r="N89" s="352"/>
      <c r="O89" s="309">
        <v>175751.87</v>
      </c>
      <c r="P89" s="308">
        <v>175348.33</v>
      </c>
      <c r="Q89" s="251">
        <f t="shared" si="31"/>
        <v>-403.54000000000815</v>
      </c>
      <c r="R89" s="252">
        <f t="shared" si="32"/>
        <v>-2.2960779876766498E-3</v>
      </c>
      <c r="S89" s="253"/>
      <c r="T89" s="120">
        <v>221151.00999999998</v>
      </c>
      <c r="U89" s="120">
        <v>252897.04</v>
      </c>
      <c r="V89" s="251">
        <f t="shared" si="33"/>
        <v>31746.030000000028</v>
      </c>
      <c r="W89" s="252">
        <f t="shared" si="34"/>
        <v>0.14354910701063509</v>
      </c>
      <c r="X89" s="778"/>
    </row>
    <row r="90" spans="1:24" s="244" customFormat="1" ht="46.5" customHeight="1" x14ac:dyDescent="0.2">
      <c r="A90" s="130">
        <v>2260</v>
      </c>
      <c r="B90" s="139" t="s">
        <v>160</v>
      </c>
      <c r="C90" s="311">
        <v>73342.570000000007</v>
      </c>
      <c r="D90" s="311">
        <v>81354.149999999994</v>
      </c>
      <c r="E90" s="311">
        <v>26265.38</v>
      </c>
      <c r="F90" s="311">
        <f>SUM(F91:F95)</f>
        <v>30187.8</v>
      </c>
      <c r="G90" s="251">
        <f t="shared" si="27"/>
        <v>3922.4199999999983</v>
      </c>
      <c r="H90" s="252">
        <f t="shared" si="28"/>
        <v>0.14933802594898676</v>
      </c>
      <c r="I90" s="881"/>
      <c r="J90" s="311">
        <v>45694.98</v>
      </c>
      <c r="K90" s="311">
        <f>SUM(K91:K95)</f>
        <v>23331.799999999996</v>
      </c>
      <c r="L90" s="251">
        <f t="shared" si="29"/>
        <v>-22363.180000000008</v>
      </c>
      <c r="M90" s="252">
        <f t="shared" si="30"/>
        <v>-0.48940124276233421</v>
      </c>
      <c r="N90" s="872" t="s">
        <v>161</v>
      </c>
      <c r="O90" s="311">
        <v>63505.670000000006</v>
      </c>
      <c r="P90" s="311">
        <f>SUM(P91:P95)</f>
        <v>42867.96</v>
      </c>
      <c r="Q90" s="251">
        <f t="shared" si="31"/>
        <v>-20637.710000000006</v>
      </c>
      <c r="R90" s="252">
        <f t="shared" si="32"/>
        <v>-0.3249742896972822</v>
      </c>
      <c r="S90" s="872" t="s">
        <v>162</v>
      </c>
      <c r="T90" s="247">
        <v>81354.149999999994</v>
      </c>
      <c r="U90" s="247">
        <f>SUM(U91:U95)</f>
        <v>56337.56</v>
      </c>
      <c r="V90" s="251">
        <f t="shared" si="33"/>
        <v>-25016.589999999997</v>
      </c>
      <c r="W90" s="252">
        <f t="shared" si="34"/>
        <v>-0.30750232163940006</v>
      </c>
      <c r="X90" s="854" t="s">
        <v>163</v>
      </c>
    </row>
    <row r="91" spans="1:24" s="2" customFormat="1" ht="46.5" customHeight="1" x14ac:dyDescent="0.2">
      <c r="A91" s="243">
        <v>2261</v>
      </c>
      <c r="B91" s="40" t="s">
        <v>164</v>
      </c>
      <c r="C91" s="113">
        <v>0</v>
      </c>
      <c r="D91" s="306">
        <v>0</v>
      </c>
      <c r="E91" s="306">
        <v>0</v>
      </c>
      <c r="F91" s="113"/>
      <c r="G91" s="114">
        <f t="shared" si="27"/>
        <v>0</v>
      </c>
      <c r="H91" s="115" t="str">
        <f t="shared" si="28"/>
        <v>-</v>
      </c>
      <c r="I91" s="882"/>
      <c r="J91" s="306">
        <v>0</v>
      </c>
      <c r="K91" s="113"/>
      <c r="L91" s="114">
        <f t="shared" si="29"/>
        <v>0</v>
      </c>
      <c r="M91" s="115" t="str">
        <f t="shared" si="30"/>
        <v>-</v>
      </c>
      <c r="N91" s="873"/>
      <c r="O91" s="306">
        <v>0</v>
      </c>
      <c r="P91" s="306"/>
      <c r="Q91" s="114">
        <f t="shared" si="31"/>
        <v>0</v>
      </c>
      <c r="R91" s="115" t="str">
        <f t="shared" si="32"/>
        <v>-</v>
      </c>
      <c r="S91" s="873"/>
      <c r="T91" s="113">
        <v>0</v>
      </c>
      <c r="U91" s="113"/>
      <c r="V91" s="114">
        <f t="shared" si="33"/>
        <v>0</v>
      </c>
      <c r="W91" s="115" t="str">
        <f t="shared" si="34"/>
        <v>-</v>
      </c>
      <c r="X91" s="855"/>
    </row>
    <row r="92" spans="1:24" s="2" customFormat="1" ht="46.5" customHeight="1" x14ac:dyDescent="0.2">
      <c r="A92" s="243">
        <v>2262</v>
      </c>
      <c r="B92" s="40" t="s">
        <v>165</v>
      </c>
      <c r="C92" s="113">
        <v>0</v>
      </c>
      <c r="D92" s="306">
        <v>0</v>
      </c>
      <c r="E92" s="306">
        <v>0</v>
      </c>
      <c r="F92" s="113"/>
      <c r="G92" s="114">
        <f t="shared" si="27"/>
        <v>0</v>
      </c>
      <c r="H92" s="115" t="str">
        <f t="shared" si="28"/>
        <v>-</v>
      </c>
      <c r="I92" s="882"/>
      <c r="J92" s="306">
        <v>0</v>
      </c>
      <c r="K92" s="113"/>
      <c r="L92" s="114">
        <f t="shared" si="29"/>
        <v>0</v>
      </c>
      <c r="M92" s="115" t="str">
        <f t="shared" si="30"/>
        <v>-</v>
      </c>
      <c r="N92" s="873"/>
      <c r="O92" s="306">
        <v>0</v>
      </c>
      <c r="P92" s="306"/>
      <c r="Q92" s="114">
        <f t="shared" si="31"/>
        <v>0</v>
      </c>
      <c r="R92" s="115" t="str">
        <f t="shared" si="32"/>
        <v>-</v>
      </c>
      <c r="S92" s="873"/>
      <c r="T92" s="113">
        <v>0</v>
      </c>
      <c r="U92" s="113"/>
      <c r="V92" s="114">
        <f t="shared" si="33"/>
        <v>0</v>
      </c>
      <c r="W92" s="115" t="str">
        <f t="shared" si="34"/>
        <v>-</v>
      </c>
      <c r="X92" s="855"/>
    </row>
    <row r="93" spans="1:24" s="2" customFormat="1" ht="46.5" customHeight="1" x14ac:dyDescent="0.2">
      <c r="A93" s="243">
        <v>2263</v>
      </c>
      <c r="B93" s="40" t="s">
        <v>166</v>
      </c>
      <c r="C93" s="113">
        <v>0</v>
      </c>
      <c r="D93" s="306">
        <v>0</v>
      </c>
      <c r="E93" s="306">
        <v>0</v>
      </c>
      <c r="F93" s="113"/>
      <c r="G93" s="114">
        <f t="shared" si="27"/>
        <v>0</v>
      </c>
      <c r="H93" s="115" t="str">
        <f t="shared" si="28"/>
        <v>-</v>
      </c>
      <c r="I93" s="882"/>
      <c r="J93" s="306">
        <v>0</v>
      </c>
      <c r="K93" s="113"/>
      <c r="L93" s="114">
        <f t="shared" si="29"/>
        <v>0</v>
      </c>
      <c r="M93" s="115" t="str">
        <f t="shared" si="30"/>
        <v>-</v>
      </c>
      <c r="N93" s="873"/>
      <c r="O93" s="306">
        <v>0</v>
      </c>
      <c r="P93" s="306"/>
      <c r="Q93" s="114">
        <f t="shared" si="31"/>
        <v>0</v>
      </c>
      <c r="R93" s="115" t="str">
        <f t="shared" si="32"/>
        <v>-</v>
      </c>
      <c r="S93" s="873"/>
      <c r="T93" s="113">
        <v>0</v>
      </c>
      <c r="U93" s="113"/>
      <c r="V93" s="114">
        <f t="shared" si="33"/>
        <v>0</v>
      </c>
      <c r="W93" s="115" t="str">
        <f t="shared" si="34"/>
        <v>-</v>
      </c>
      <c r="X93" s="855"/>
    </row>
    <row r="94" spans="1:24" s="2" customFormat="1" ht="46.5" customHeight="1" x14ac:dyDescent="0.2">
      <c r="A94" s="243">
        <v>2264</v>
      </c>
      <c r="B94" s="40" t="s">
        <v>167</v>
      </c>
      <c r="C94" s="113">
        <v>73342.570000000007</v>
      </c>
      <c r="D94" s="306">
        <v>81354.149999999994</v>
      </c>
      <c r="E94" s="306">
        <v>26265.38</v>
      </c>
      <c r="F94" s="113">
        <v>30187.8</v>
      </c>
      <c r="G94" s="114">
        <f t="shared" si="27"/>
        <v>3922.4199999999983</v>
      </c>
      <c r="H94" s="115">
        <f t="shared" si="28"/>
        <v>0.14933802594898676</v>
      </c>
      <c r="I94" s="882"/>
      <c r="J94" s="306">
        <v>45694.98</v>
      </c>
      <c r="K94" s="117">
        <f>58731.67-35399.87</f>
        <v>23331.799999999996</v>
      </c>
      <c r="L94" s="114">
        <f t="shared" si="29"/>
        <v>-22363.180000000008</v>
      </c>
      <c r="M94" s="115">
        <f t="shared" si="30"/>
        <v>-0.48940124276233421</v>
      </c>
      <c r="N94" s="873"/>
      <c r="O94" s="307">
        <v>63505.670000000006</v>
      </c>
      <c r="P94" s="306">
        <v>42867.96</v>
      </c>
      <c r="Q94" s="114">
        <f t="shared" si="31"/>
        <v>-20637.710000000006</v>
      </c>
      <c r="R94" s="115">
        <f t="shared" si="32"/>
        <v>-0.3249742896972822</v>
      </c>
      <c r="S94" s="873"/>
      <c r="T94" s="113">
        <v>81354.149999999994</v>
      </c>
      <c r="U94" s="113">
        <v>56337.56</v>
      </c>
      <c r="V94" s="114">
        <f t="shared" si="33"/>
        <v>-25016.589999999997</v>
      </c>
      <c r="W94" s="115">
        <f t="shared" si="34"/>
        <v>-0.30750232163940006</v>
      </c>
      <c r="X94" s="855"/>
    </row>
    <row r="95" spans="1:24" s="2" customFormat="1" ht="46.5" customHeight="1" x14ac:dyDescent="0.2">
      <c r="A95" s="243">
        <v>2269</v>
      </c>
      <c r="B95" s="40" t="s">
        <v>168</v>
      </c>
      <c r="C95" s="113">
        <v>0</v>
      </c>
      <c r="D95" s="306">
        <v>0</v>
      </c>
      <c r="E95" s="306">
        <v>0</v>
      </c>
      <c r="F95" s="113"/>
      <c r="G95" s="114">
        <f t="shared" si="27"/>
        <v>0</v>
      </c>
      <c r="H95" s="115" t="str">
        <f t="shared" si="28"/>
        <v>-</v>
      </c>
      <c r="I95" s="883"/>
      <c r="J95" s="306">
        <v>0</v>
      </c>
      <c r="K95" s="113"/>
      <c r="L95" s="114">
        <f t="shared" si="29"/>
        <v>0</v>
      </c>
      <c r="M95" s="115" t="str">
        <f t="shared" si="30"/>
        <v>-</v>
      </c>
      <c r="N95" s="874"/>
      <c r="O95" s="306">
        <v>0</v>
      </c>
      <c r="P95" s="306"/>
      <c r="Q95" s="114">
        <f t="shared" si="31"/>
        <v>0</v>
      </c>
      <c r="R95" s="115" t="str">
        <f t="shared" si="32"/>
        <v>-</v>
      </c>
      <c r="S95" s="874"/>
      <c r="T95" s="113">
        <v>0</v>
      </c>
      <c r="U95" s="113"/>
      <c r="V95" s="114">
        <f t="shared" si="33"/>
        <v>0</v>
      </c>
      <c r="W95" s="115" t="str">
        <f t="shared" si="34"/>
        <v>-</v>
      </c>
      <c r="X95" s="856"/>
    </row>
    <row r="96" spans="1:24" s="244" customFormat="1" ht="46.5" customHeight="1" x14ac:dyDescent="0.2">
      <c r="A96" s="130">
        <v>2270</v>
      </c>
      <c r="B96" s="139" t="s">
        <v>169</v>
      </c>
      <c r="C96" s="237">
        <v>0</v>
      </c>
      <c r="D96" s="311">
        <v>0</v>
      </c>
      <c r="E96" s="311">
        <v>0</v>
      </c>
      <c r="F96" s="237">
        <f>SUM(F97:F101)</f>
        <v>0</v>
      </c>
      <c r="G96" s="251">
        <f t="shared" si="27"/>
        <v>0</v>
      </c>
      <c r="H96" s="252" t="str">
        <f t="shared" si="28"/>
        <v>-</v>
      </c>
      <c r="I96" s="878"/>
      <c r="J96" s="311">
        <v>0</v>
      </c>
      <c r="K96" s="237">
        <f>SUM(K97:K101)</f>
        <v>0</v>
      </c>
      <c r="L96" s="251">
        <f>K96-J96</f>
        <v>0</v>
      </c>
      <c r="M96" s="252" t="str">
        <f>IFERROR(L96/ABS(J96), "-")</f>
        <v>-</v>
      </c>
      <c r="N96" s="878"/>
      <c r="O96" s="311">
        <v>0</v>
      </c>
      <c r="P96" s="311">
        <f>SUM(P97:P101)</f>
        <v>0</v>
      </c>
      <c r="Q96" s="251">
        <f>P96-O96</f>
        <v>0</v>
      </c>
      <c r="R96" s="252" t="str">
        <f>IFERROR(Q96/ABS(O96), "-")</f>
        <v>-</v>
      </c>
      <c r="S96" s="881"/>
      <c r="T96" s="247">
        <v>0</v>
      </c>
      <c r="U96" s="247">
        <f>SUM(U97:U101)</f>
        <v>0</v>
      </c>
      <c r="V96" s="251">
        <f t="shared" si="33"/>
        <v>0</v>
      </c>
      <c r="W96" s="252" t="str">
        <f t="shared" si="34"/>
        <v>-</v>
      </c>
      <c r="X96" s="868"/>
    </row>
    <row r="97" spans="1:24" s="2" customFormat="1" ht="46.5" customHeight="1" x14ac:dyDescent="0.2">
      <c r="A97" s="243">
        <v>2272</v>
      </c>
      <c r="B97" s="133" t="s">
        <v>170</v>
      </c>
      <c r="C97" s="237">
        <v>0</v>
      </c>
      <c r="D97" s="311">
        <v>0</v>
      </c>
      <c r="E97" s="311">
        <v>0</v>
      </c>
      <c r="F97" s="237"/>
      <c r="G97" s="114">
        <f t="shared" si="27"/>
        <v>0</v>
      </c>
      <c r="H97" s="115" t="str">
        <f t="shared" si="28"/>
        <v>-</v>
      </c>
      <c r="I97" s="879"/>
      <c r="J97" s="306">
        <v>0</v>
      </c>
      <c r="K97" s="237"/>
      <c r="L97" s="114">
        <f t="shared" ref="L97" si="35">K97-J97</f>
        <v>0</v>
      </c>
      <c r="M97" s="115" t="str">
        <f t="shared" ref="M97" si="36">IFERROR(L97/ABS(J97), "-")</f>
        <v>-</v>
      </c>
      <c r="N97" s="879"/>
      <c r="O97" s="306">
        <v>0</v>
      </c>
      <c r="P97" s="311"/>
      <c r="Q97" s="114">
        <f t="shared" ref="Q97" si="37">P97-O97</f>
        <v>0</v>
      </c>
      <c r="R97" s="115" t="str">
        <f t="shared" ref="R97" si="38">IFERROR(Q97/ABS(O97), "-")</f>
        <v>-</v>
      </c>
      <c r="S97" s="882"/>
      <c r="T97" s="113">
        <v>0</v>
      </c>
      <c r="U97" s="247"/>
      <c r="V97" s="114">
        <f t="shared" si="33"/>
        <v>0</v>
      </c>
      <c r="W97" s="115" t="str">
        <f t="shared" si="34"/>
        <v>-</v>
      </c>
      <c r="X97" s="869"/>
    </row>
    <row r="98" spans="1:24" s="2" customFormat="1" ht="46.5" customHeight="1" x14ac:dyDescent="0.2">
      <c r="A98" s="243">
        <v>2272</v>
      </c>
      <c r="B98" s="133" t="s">
        <v>171</v>
      </c>
      <c r="C98" s="113">
        <v>0</v>
      </c>
      <c r="D98" s="306">
        <v>0</v>
      </c>
      <c r="E98" s="306">
        <v>0</v>
      </c>
      <c r="F98" s="113"/>
      <c r="G98" s="114">
        <f t="shared" si="27"/>
        <v>0</v>
      </c>
      <c r="H98" s="115" t="str">
        <f t="shared" si="28"/>
        <v>-</v>
      </c>
      <c r="I98" s="879"/>
      <c r="J98" s="306">
        <v>0</v>
      </c>
      <c r="K98" s="113"/>
      <c r="L98" s="114">
        <f t="shared" si="29"/>
        <v>0</v>
      </c>
      <c r="M98" s="115" t="str">
        <f t="shared" si="30"/>
        <v>-</v>
      </c>
      <c r="N98" s="879"/>
      <c r="O98" s="306">
        <v>0</v>
      </c>
      <c r="P98" s="306"/>
      <c r="Q98" s="114">
        <f t="shared" si="31"/>
        <v>0</v>
      </c>
      <c r="R98" s="115" t="str">
        <f t="shared" si="32"/>
        <v>-</v>
      </c>
      <c r="S98" s="882"/>
      <c r="T98" s="113">
        <v>0</v>
      </c>
      <c r="U98" s="113"/>
      <c r="V98" s="114">
        <f t="shared" si="33"/>
        <v>0</v>
      </c>
      <c r="W98" s="115" t="str">
        <f t="shared" si="34"/>
        <v>-</v>
      </c>
      <c r="X98" s="869"/>
    </row>
    <row r="99" spans="1:24" s="2" customFormat="1" ht="46.5" customHeight="1" x14ac:dyDescent="0.2">
      <c r="A99" s="243">
        <v>2273</v>
      </c>
      <c r="B99" s="133" t="s">
        <v>172</v>
      </c>
      <c r="C99" s="113">
        <v>0</v>
      </c>
      <c r="D99" s="306">
        <v>0</v>
      </c>
      <c r="E99" s="306">
        <v>0</v>
      </c>
      <c r="F99" s="113"/>
      <c r="G99" s="114">
        <f t="shared" si="27"/>
        <v>0</v>
      </c>
      <c r="H99" s="115" t="str">
        <f t="shared" si="28"/>
        <v>-</v>
      </c>
      <c r="I99" s="879"/>
      <c r="J99" s="306">
        <v>0</v>
      </c>
      <c r="K99" s="113"/>
      <c r="L99" s="114">
        <f t="shared" si="29"/>
        <v>0</v>
      </c>
      <c r="M99" s="115" t="str">
        <f t="shared" si="30"/>
        <v>-</v>
      </c>
      <c r="N99" s="879"/>
      <c r="O99" s="306">
        <v>0</v>
      </c>
      <c r="P99" s="306"/>
      <c r="Q99" s="114">
        <f t="shared" si="31"/>
        <v>0</v>
      </c>
      <c r="R99" s="115" t="str">
        <f t="shared" si="32"/>
        <v>-</v>
      </c>
      <c r="S99" s="882"/>
      <c r="T99" s="113">
        <v>0</v>
      </c>
      <c r="U99" s="113"/>
      <c r="V99" s="114">
        <f t="shared" si="33"/>
        <v>0</v>
      </c>
      <c r="W99" s="115" t="str">
        <f t="shared" si="34"/>
        <v>-</v>
      </c>
      <c r="X99" s="869"/>
    </row>
    <row r="100" spans="1:24" s="2" customFormat="1" ht="46.5" customHeight="1" x14ac:dyDescent="0.2">
      <c r="A100" s="243">
        <v>2274</v>
      </c>
      <c r="B100" s="133" t="s">
        <v>173</v>
      </c>
      <c r="C100" s="113">
        <v>0</v>
      </c>
      <c r="D100" s="306">
        <v>0</v>
      </c>
      <c r="E100" s="306">
        <v>0</v>
      </c>
      <c r="F100" s="113"/>
      <c r="G100" s="114">
        <f t="shared" si="27"/>
        <v>0</v>
      </c>
      <c r="H100" s="115" t="str">
        <f t="shared" si="28"/>
        <v>-</v>
      </c>
      <c r="I100" s="879"/>
      <c r="J100" s="306">
        <v>0</v>
      </c>
      <c r="K100" s="113"/>
      <c r="L100" s="114">
        <f t="shared" si="29"/>
        <v>0</v>
      </c>
      <c r="M100" s="115" t="str">
        <f t="shared" si="30"/>
        <v>-</v>
      </c>
      <c r="N100" s="879"/>
      <c r="O100" s="306">
        <v>0</v>
      </c>
      <c r="P100" s="306"/>
      <c r="Q100" s="114">
        <f t="shared" si="31"/>
        <v>0</v>
      </c>
      <c r="R100" s="115" t="str">
        <f t="shared" si="32"/>
        <v>-</v>
      </c>
      <c r="S100" s="882"/>
      <c r="T100" s="113">
        <v>0</v>
      </c>
      <c r="U100" s="113"/>
      <c r="V100" s="114">
        <f t="shared" si="33"/>
        <v>0</v>
      </c>
      <c r="W100" s="115" t="str">
        <f t="shared" si="34"/>
        <v>-</v>
      </c>
      <c r="X100" s="869"/>
    </row>
    <row r="101" spans="1:24" s="2" customFormat="1" ht="46.5" customHeight="1" x14ac:dyDescent="0.2">
      <c r="A101" s="243">
        <v>2276</v>
      </c>
      <c r="B101" s="133" t="s">
        <v>174</v>
      </c>
      <c r="C101" s="113">
        <v>0</v>
      </c>
      <c r="D101" s="306">
        <v>0</v>
      </c>
      <c r="E101" s="306">
        <v>0</v>
      </c>
      <c r="F101" s="113"/>
      <c r="G101" s="114">
        <f t="shared" si="27"/>
        <v>0</v>
      </c>
      <c r="H101" s="115" t="str">
        <f t="shared" si="28"/>
        <v>-</v>
      </c>
      <c r="I101" s="880"/>
      <c r="J101" s="306">
        <v>0</v>
      </c>
      <c r="K101" s="113"/>
      <c r="L101" s="114">
        <f t="shared" si="29"/>
        <v>0</v>
      </c>
      <c r="M101" s="115" t="str">
        <f t="shared" si="30"/>
        <v>-</v>
      </c>
      <c r="N101" s="880"/>
      <c r="O101" s="307">
        <v>0</v>
      </c>
      <c r="P101" s="306"/>
      <c r="Q101" s="114">
        <f t="shared" si="31"/>
        <v>0</v>
      </c>
      <c r="R101" s="115" t="str">
        <f t="shared" si="32"/>
        <v>-</v>
      </c>
      <c r="S101" s="883"/>
      <c r="T101" s="117">
        <v>0</v>
      </c>
      <c r="U101" s="113"/>
      <c r="V101" s="114">
        <f t="shared" si="33"/>
        <v>0</v>
      </c>
      <c r="W101" s="115" t="str">
        <f t="shared" si="34"/>
        <v>-</v>
      </c>
      <c r="X101" s="870"/>
    </row>
    <row r="102" spans="1:24" s="244" customFormat="1" ht="46.5" customHeight="1" x14ac:dyDescent="0.2">
      <c r="A102" s="130">
        <v>2280</v>
      </c>
      <c r="B102" s="136" t="s">
        <v>175</v>
      </c>
      <c r="C102" s="308">
        <v>4223.3599999999997</v>
      </c>
      <c r="D102" s="308">
        <v>4210.53</v>
      </c>
      <c r="E102" s="308">
        <v>800</v>
      </c>
      <c r="F102" s="308">
        <v>589.41999999999996</v>
      </c>
      <c r="G102" s="251">
        <f t="shared" si="27"/>
        <v>-210.58000000000004</v>
      </c>
      <c r="H102" s="252">
        <f t="shared" si="28"/>
        <v>-0.26322500000000004</v>
      </c>
      <c r="I102" s="631" t="s">
        <v>176</v>
      </c>
      <c r="J102" s="308">
        <v>2211.35</v>
      </c>
      <c r="K102" s="308">
        <v>1171.8499999999999</v>
      </c>
      <c r="L102" s="251">
        <f t="shared" si="29"/>
        <v>-1039.5</v>
      </c>
      <c r="M102" s="252">
        <f t="shared" si="30"/>
        <v>-0.47007484116037718</v>
      </c>
      <c r="N102" s="631" t="s">
        <v>177</v>
      </c>
      <c r="O102" s="308">
        <v>3561.96</v>
      </c>
      <c r="P102" s="308">
        <v>1945.95</v>
      </c>
      <c r="Q102" s="251">
        <f t="shared" si="31"/>
        <v>-1616.01</v>
      </c>
      <c r="R102" s="252">
        <f t="shared" si="32"/>
        <v>-0.45368561129265911</v>
      </c>
      <c r="S102" s="631" t="s">
        <v>178</v>
      </c>
      <c r="T102" s="120">
        <v>4210.53</v>
      </c>
      <c r="U102" s="120">
        <v>2160.11</v>
      </c>
      <c r="V102" s="251">
        <f t="shared" si="33"/>
        <v>-2050.4199999999996</v>
      </c>
      <c r="W102" s="252">
        <f t="shared" si="34"/>
        <v>-0.48697432389746653</v>
      </c>
      <c r="X102" s="767" t="s">
        <v>176</v>
      </c>
    </row>
    <row r="103" spans="1:24" s="3" customFormat="1" ht="46.5" customHeight="1" x14ac:dyDescent="0.2">
      <c r="A103" s="99">
        <v>2300</v>
      </c>
      <c r="B103" s="150" t="s">
        <v>179</v>
      </c>
      <c r="C103" s="305">
        <v>7692266.5499999998</v>
      </c>
      <c r="D103" s="305">
        <v>7611142.04</v>
      </c>
      <c r="E103" s="305">
        <v>1813266.99</v>
      </c>
      <c r="F103" s="145">
        <f>F104+F109+F113+F114+F118+F119+F126+F127+F128</f>
        <v>1915929.9300000002</v>
      </c>
      <c r="G103" s="146">
        <f t="shared" si="27"/>
        <v>102662.94000000018</v>
      </c>
      <c r="H103" s="147">
        <f t="shared" si="28"/>
        <v>5.6617663348076601E-2</v>
      </c>
      <c r="I103" s="353"/>
      <c r="J103" s="305">
        <v>3680126.17</v>
      </c>
      <c r="K103" s="145">
        <f>K104+K109+K113+K114+K118+K119+K126+K127+K128</f>
        <v>4019335.37</v>
      </c>
      <c r="L103" s="146">
        <f t="shared" si="29"/>
        <v>339209.20000000019</v>
      </c>
      <c r="M103" s="147">
        <f t="shared" si="30"/>
        <v>9.217325285344774E-2</v>
      </c>
      <c r="N103" s="353"/>
      <c r="O103" s="305">
        <v>5618519.1400000006</v>
      </c>
      <c r="P103" s="305">
        <f>P104+P109+P113+P114+P118+P119+P126+P127+P128</f>
        <v>6095781.5099999998</v>
      </c>
      <c r="Q103" s="146">
        <f t="shared" si="31"/>
        <v>477262.36999999918</v>
      </c>
      <c r="R103" s="147">
        <f t="shared" si="32"/>
        <v>8.4944512621167131E-2</v>
      </c>
      <c r="S103" s="155"/>
      <c r="T103" s="145">
        <v>7611142.04</v>
      </c>
      <c r="U103" s="145">
        <f>U104+U109+U113+U114+U118+U119+U126+U127+U128</f>
        <v>8102704.6099999994</v>
      </c>
      <c r="V103" s="146">
        <f t="shared" si="33"/>
        <v>491562.56999999937</v>
      </c>
      <c r="W103" s="147">
        <f t="shared" si="34"/>
        <v>6.4584600762489425E-2</v>
      </c>
      <c r="X103" s="774"/>
    </row>
    <row r="104" spans="1:24" s="244" customFormat="1" ht="46.5" customHeight="1" x14ac:dyDescent="0.2">
      <c r="A104" s="130">
        <v>2310</v>
      </c>
      <c r="B104" s="136" t="s">
        <v>180</v>
      </c>
      <c r="C104" s="311">
        <v>71484.12</v>
      </c>
      <c r="D104" s="311">
        <v>77620.139999999985</v>
      </c>
      <c r="E104" s="311">
        <v>24511.769999999997</v>
      </c>
      <c r="F104" s="311">
        <f>SUM(F105:F108)</f>
        <v>34126.43</v>
      </c>
      <c r="G104" s="251">
        <f t="shared" si="27"/>
        <v>9614.6600000000035</v>
      </c>
      <c r="H104" s="252">
        <f t="shared" si="28"/>
        <v>0.39224666354163756</v>
      </c>
      <c r="I104" s="888" t="s">
        <v>181</v>
      </c>
      <c r="J104" s="311">
        <v>42389.36</v>
      </c>
      <c r="K104" s="311">
        <f>SUM(K105:K108)</f>
        <v>60794.45</v>
      </c>
      <c r="L104" s="251">
        <f t="shared" si="29"/>
        <v>18405.089999999997</v>
      </c>
      <c r="M104" s="252">
        <f t="shared" si="30"/>
        <v>0.4341912687523472</v>
      </c>
      <c r="N104" s="864" t="s">
        <v>182</v>
      </c>
      <c r="O104" s="311">
        <v>60885.02</v>
      </c>
      <c r="P104" s="311">
        <f>SUM(P105:P108)</f>
        <v>78912.08</v>
      </c>
      <c r="Q104" s="251">
        <f t="shared" si="31"/>
        <v>18027.060000000005</v>
      </c>
      <c r="R104" s="252">
        <f t="shared" si="32"/>
        <v>0.29608366721403728</v>
      </c>
      <c r="S104" s="864" t="s">
        <v>183</v>
      </c>
      <c r="T104" s="247">
        <v>77620.139999999985</v>
      </c>
      <c r="U104" s="247">
        <f>SUM(U105:U108)</f>
        <v>97388.15</v>
      </c>
      <c r="V104" s="251">
        <f t="shared" si="33"/>
        <v>19768.010000000009</v>
      </c>
      <c r="W104" s="252">
        <f t="shared" si="34"/>
        <v>0.25467629921821855</v>
      </c>
      <c r="X104" s="854" t="s">
        <v>184</v>
      </c>
    </row>
    <row r="105" spans="1:24" s="2" customFormat="1" ht="46.5" customHeight="1" x14ac:dyDescent="0.2">
      <c r="A105" s="243">
        <v>2311</v>
      </c>
      <c r="B105" s="40" t="s">
        <v>185</v>
      </c>
      <c r="C105" s="306">
        <v>10151.52</v>
      </c>
      <c r="D105" s="306">
        <v>10394</v>
      </c>
      <c r="E105" s="306">
        <v>4136.87</v>
      </c>
      <c r="F105" s="113">
        <v>3451.66</v>
      </c>
      <c r="G105" s="114">
        <f t="shared" si="27"/>
        <v>-685.21</v>
      </c>
      <c r="H105" s="115">
        <f t="shared" si="28"/>
        <v>-0.16563488821258585</v>
      </c>
      <c r="I105" s="889"/>
      <c r="J105" s="306">
        <v>6585.53</v>
      </c>
      <c r="K105" s="113">
        <v>5830.11</v>
      </c>
      <c r="L105" s="114">
        <f t="shared" si="29"/>
        <v>-755.42000000000007</v>
      </c>
      <c r="M105" s="115">
        <f t="shared" si="30"/>
        <v>-0.11470906669622644</v>
      </c>
      <c r="N105" s="865"/>
      <c r="O105" s="306">
        <v>9052.56</v>
      </c>
      <c r="P105" s="306">
        <v>8020.57</v>
      </c>
      <c r="Q105" s="114">
        <f t="shared" si="31"/>
        <v>-1031.9899999999998</v>
      </c>
      <c r="R105" s="115">
        <f t="shared" si="32"/>
        <v>-0.11399979674257887</v>
      </c>
      <c r="S105" s="865"/>
      <c r="T105" s="113">
        <v>10394</v>
      </c>
      <c r="U105" s="113">
        <v>10918.48</v>
      </c>
      <c r="V105" s="114">
        <f t="shared" si="33"/>
        <v>524.47999999999956</v>
      </c>
      <c r="W105" s="115">
        <f t="shared" si="34"/>
        <v>5.0459880700404039E-2</v>
      </c>
      <c r="X105" s="855"/>
    </row>
    <row r="106" spans="1:24" s="2" customFormat="1" ht="46.5" customHeight="1" x14ac:dyDescent="0.2">
      <c r="A106" s="243">
        <v>2312</v>
      </c>
      <c r="B106" s="40" t="s">
        <v>186</v>
      </c>
      <c r="C106" s="306">
        <v>55544.760000000009</v>
      </c>
      <c r="D106" s="306">
        <v>55929.250000000007</v>
      </c>
      <c r="E106" s="306">
        <v>13360.599999999999</v>
      </c>
      <c r="F106" s="113">
        <v>23660.47</v>
      </c>
      <c r="G106" s="114">
        <f t="shared" si="27"/>
        <v>10299.870000000003</v>
      </c>
      <c r="H106" s="115">
        <f t="shared" si="28"/>
        <v>0.77091373141924791</v>
      </c>
      <c r="I106" s="889"/>
      <c r="J106" s="306">
        <v>27433.989999999998</v>
      </c>
      <c r="K106" s="113">
        <v>38050.339999999997</v>
      </c>
      <c r="L106" s="114">
        <f t="shared" si="29"/>
        <v>10616.349999999999</v>
      </c>
      <c r="M106" s="115">
        <f t="shared" si="30"/>
        <v>0.38697797877742168</v>
      </c>
      <c r="N106" s="865"/>
      <c r="O106" s="307">
        <v>41812.370000000003</v>
      </c>
      <c r="P106" s="306">
        <v>53977.51</v>
      </c>
      <c r="Q106" s="114">
        <f t="shared" si="31"/>
        <v>12165.14</v>
      </c>
      <c r="R106" s="115">
        <f t="shared" si="32"/>
        <v>0.29094595690222769</v>
      </c>
      <c r="S106" s="865"/>
      <c r="T106" s="117">
        <v>55929.250000000007</v>
      </c>
      <c r="U106" s="113">
        <v>69555.67</v>
      </c>
      <c r="V106" s="114">
        <f t="shared" si="33"/>
        <v>13626.419999999991</v>
      </c>
      <c r="W106" s="115">
        <f t="shared" si="34"/>
        <v>0.2436367374853049</v>
      </c>
      <c r="X106" s="855"/>
    </row>
    <row r="107" spans="1:24" s="3" customFormat="1" ht="46.5" customHeight="1" x14ac:dyDescent="0.2">
      <c r="A107" s="243">
        <v>2313</v>
      </c>
      <c r="B107" s="40" t="s">
        <v>187</v>
      </c>
      <c r="C107" s="306">
        <v>5787.84</v>
      </c>
      <c r="D107" s="306">
        <v>11296.89</v>
      </c>
      <c r="E107" s="306">
        <v>7014.3</v>
      </c>
      <c r="F107" s="113">
        <v>7014.3</v>
      </c>
      <c r="G107" s="114">
        <f t="shared" si="27"/>
        <v>0</v>
      </c>
      <c r="H107" s="115">
        <f t="shared" si="28"/>
        <v>0</v>
      </c>
      <c r="I107" s="889"/>
      <c r="J107" s="306">
        <v>8369.84</v>
      </c>
      <c r="K107" s="113">
        <v>16914</v>
      </c>
      <c r="L107" s="134">
        <f t="shared" si="29"/>
        <v>8544.16</v>
      </c>
      <c r="M107" s="135">
        <f t="shared" si="30"/>
        <v>1.0208271603758254</v>
      </c>
      <c r="N107" s="865"/>
      <c r="O107" s="307">
        <v>10020.09</v>
      </c>
      <c r="P107" s="306">
        <v>16914</v>
      </c>
      <c r="Q107" s="114">
        <f t="shared" si="31"/>
        <v>6893.91</v>
      </c>
      <c r="R107" s="115">
        <f t="shared" si="32"/>
        <v>0.68800879034020646</v>
      </c>
      <c r="S107" s="865"/>
      <c r="T107" s="117">
        <v>11296.89</v>
      </c>
      <c r="U107" s="113">
        <v>16914</v>
      </c>
      <c r="V107" s="114">
        <f t="shared" si="33"/>
        <v>5617.1100000000006</v>
      </c>
      <c r="W107" s="115">
        <f t="shared" si="34"/>
        <v>0.49722622774940722</v>
      </c>
      <c r="X107" s="855"/>
    </row>
    <row r="108" spans="1:24" s="2" customFormat="1" ht="46.5" customHeight="1" x14ac:dyDescent="0.2">
      <c r="A108" s="243">
        <v>2314</v>
      </c>
      <c r="B108" s="133" t="s">
        <v>188</v>
      </c>
      <c r="C108" s="306">
        <v>0</v>
      </c>
      <c r="D108" s="306">
        <v>0</v>
      </c>
      <c r="E108" s="306">
        <v>0</v>
      </c>
      <c r="F108" s="113"/>
      <c r="G108" s="114">
        <f t="shared" si="27"/>
        <v>0</v>
      </c>
      <c r="H108" s="115" t="str">
        <f t="shared" si="28"/>
        <v>-</v>
      </c>
      <c r="I108" s="890"/>
      <c r="J108" s="306">
        <v>0</v>
      </c>
      <c r="K108" s="113"/>
      <c r="L108" s="114">
        <f t="shared" si="29"/>
        <v>0</v>
      </c>
      <c r="M108" s="115" t="str">
        <f t="shared" si="30"/>
        <v>-</v>
      </c>
      <c r="N108" s="866"/>
      <c r="O108" s="306">
        <v>0</v>
      </c>
      <c r="P108" s="306"/>
      <c r="Q108" s="114">
        <f t="shared" si="31"/>
        <v>0</v>
      </c>
      <c r="R108" s="115" t="str">
        <f t="shared" si="32"/>
        <v>-</v>
      </c>
      <c r="S108" s="866"/>
      <c r="T108" s="113">
        <v>0</v>
      </c>
      <c r="U108" s="113"/>
      <c r="V108" s="114">
        <f t="shared" si="33"/>
        <v>0</v>
      </c>
      <c r="W108" s="115" t="str">
        <f t="shared" si="34"/>
        <v>-</v>
      </c>
      <c r="X108" s="856"/>
    </row>
    <row r="109" spans="1:24" s="244" customFormat="1" ht="46.5" customHeight="1" x14ac:dyDescent="0.2">
      <c r="A109" s="130">
        <v>2320</v>
      </c>
      <c r="B109" s="136" t="s">
        <v>189</v>
      </c>
      <c r="C109" s="311">
        <v>2258.3799999999997</v>
      </c>
      <c r="D109" s="311">
        <v>2289.66</v>
      </c>
      <c r="E109" s="311">
        <v>603.77</v>
      </c>
      <c r="F109" s="247">
        <f>SUM(F110:F112)</f>
        <v>560.87</v>
      </c>
      <c r="G109" s="251">
        <f t="shared" si="27"/>
        <v>-42.899999999999977</v>
      </c>
      <c r="H109" s="252">
        <f t="shared" si="28"/>
        <v>-7.1053546880434568E-2</v>
      </c>
      <c r="I109" s="881"/>
      <c r="J109" s="311">
        <v>1166.4199999999998</v>
      </c>
      <c r="K109" s="247">
        <f>SUM(K110:K112)</f>
        <v>1113.33</v>
      </c>
      <c r="L109" s="251">
        <f t="shared" si="29"/>
        <v>-53.089999999999918</v>
      </c>
      <c r="M109" s="252">
        <f t="shared" si="30"/>
        <v>-4.5515337528505964E-2</v>
      </c>
      <c r="N109" s="881"/>
      <c r="O109" s="311">
        <v>1791.7899999999997</v>
      </c>
      <c r="P109" s="311">
        <f>SUM(P110:P112)</f>
        <v>1531.92</v>
      </c>
      <c r="Q109" s="251">
        <f t="shared" si="31"/>
        <v>-259.86999999999966</v>
      </c>
      <c r="R109" s="252">
        <f t="shared" si="32"/>
        <v>-0.14503373721250801</v>
      </c>
      <c r="S109" s="881"/>
      <c r="T109" s="247">
        <v>2289.66</v>
      </c>
      <c r="U109" s="247">
        <f>SUM(U110:U112)</f>
        <v>1959.89</v>
      </c>
      <c r="V109" s="251">
        <f t="shared" si="33"/>
        <v>-329.76999999999975</v>
      </c>
      <c r="W109" s="252">
        <f t="shared" si="34"/>
        <v>-0.14402575054811623</v>
      </c>
      <c r="X109" s="868"/>
    </row>
    <row r="110" spans="1:24" s="2" customFormat="1" ht="46.5" customHeight="1" x14ac:dyDescent="0.2">
      <c r="A110" s="73">
        <v>2321</v>
      </c>
      <c r="B110" s="40" t="s">
        <v>190</v>
      </c>
      <c r="C110" s="306">
        <v>0</v>
      </c>
      <c r="D110" s="306">
        <v>0</v>
      </c>
      <c r="E110" s="306">
        <v>0</v>
      </c>
      <c r="F110" s="113"/>
      <c r="G110" s="114">
        <f t="shared" si="27"/>
        <v>0</v>
      </c>
      <c r="H110" s="115" t="str">
        <f t="shared" si="28"/>
        <v>-</v>
      </c>
      <c r="I110" s="882"/>
      <c r="J110" s="306">
        <v>0</v>
      </c>
      <c r="K110" s="113"/>
      <c r="L110" s="114">
        <f t="shared" si="29"/>
        <v>0</v>
      </c>
      <c r="M110" s="115" t="str">
        <f t="shared" si="30"/>
        <v>-</v>
      </c>
      <c r="N110" s="882"/>
      <c r="O110" s="306">
        <v>0</v>
      </c>
      <c r="P110" s="306"/>
      <c r="Q110" s="114">
        <f t="shared" si="31"/>
        <v>0</v>
      </c>
      <c r="R110" s="115" t="str">
        <f t="shared" si="32"/>
        <v>-</v>
      </c>
      <c r="S110" s="882"/>
      <c r="T110" s="113">
        <v>0</v>
      </c>
      <c r="U110" s="113"/>
      <c r="V110" s="114">
        <f t="shared" si="33"/>
        <v>0</v>
      </c>
      <c r="W110" s="115" t="str">
        <f t="shared" si="34"/>
        <v>-</v>
      </c>
      <c r="X110" s="869"/>
    </row>
    <row r="111" spans="1:24" s="3" customFormat="1" ht="46.5" customHeight="1" x14ac:dyDescent="0.2">
      <c r="A111" s="73">
        <v>2322</v>
      </c>
      <c r="B111" s="40" t="s">
        <v>191</v>
      </c>
      <c r="C111" s="306">
        <v>2258.3799999999997</v>
      </c>
      <c r="D111" s="306">
        <v>2289.66</v>
      </c>
      <c r="E111" s="306">
        <v>603.77</v>
      </c>
      <c r="F111" s="113">
        <v>560.87</v>
      </c>
      <c r="G111" s="114">
        <f t="shared" si="27"/>
        <v>-42.899999999999977</v>
      </c>
      <c r="H111" s="115">
        <f t="shared" si="28"/>
        <v>-7.1053546880434568E-2</v>
      </c>
      <c r="I111" s="882"/>
      <c r="J111" s="306">
        <v>1166.4199999999998</v>
      </c>
      <c r="K111" s="113">
        <v>1113.33</v>
      </c>
      <c r="L111" s="114">
        <f t="shared" si="29"/>
        <v>-53.089999999999918</v>
      </c>
      <c r="M111" s="115">
        <f t="shared" si="30"/>
        <v>-4.5515337528505964E-2</v>
      </c>
      <c r="N111" s="882"/>
      <c r="O111" s="306">
        <v>1791.7899999999997</v>
      </c>
      <c r="P111" s="306">
        <v>1531.92</v>
      </c>
      <c r="Q111" s="114">
        <f t="shared" si="31"/>
        <v>-259.86999999999966</v>
      </c>
      <c r="R111" s="115">
        <f t="shared" si="32"/>
        <v>-0.14503373721250801</v>
      </c>
      <c r="S111" s="882"/>
      <c r="T111" s="113">
        <v>2289.66</v>
      </c>
      <c r="U111" s="113">
        <v>1959.89</v>
      </c>
      <c r="V111" s="114">
        <f t="shared" si="33"/>
        <v>-329.76999999999975</v>
      </c>
      <c r="W111" s="115">
        <f t="shared" si="34"/>
        <v>-0.14402575054811623</v>
      </c>
      <c r="X111" s="869"/>
    </row>
    <row r="112" spans="1:24" s="3" customFormat="1" ht="46.5" customHeight="1" x14ac:dyDescent="0.2">
      <c r="A112" s="73">
        <v>2329</v>
      </c>
      <c r="B112" s="40" t="s">
        <v>192</v>
      </c>
      <c r="C112" s="306">
        <v>0</v>
      </c>
      <c r="D112" s="306">
        <v>0</v>
      </c>
      <c r="E112" s="306">
        <v>0</v>
      </c>
      <c r="F112" s="113"/>
      <c r="G112" s="114">
        <f t="shared" si="27"/>
        <v>0</v>
      </c>
      <c r="H112" s="115" t="str">
        <f t="shared" si="28"/>
        <v>-</v>
      </c>
      <c r="I112" s="883"/>
      <c r="J112" s="306">
        <v>0</v>
      </c>
      <c r="K112" s="113"/>
      <c r="L112" s="114">
        <f t="shared" si="29"/>
        <v>0</v>
      </c>
      <c r="M112" s="115" t="str">
        <f t="shared" si="30"/>
        <v>-</v>
      </c>
      <c r="N112" s="883"/>
      <c r="O112" s="306">
        <v>0</v>
      </c>
      <c r="P112" s="306"/>
      <c r="Q112" s="114">
        <f t="shared" si="31"/>
        <v>0</v>
      </c>
      <c r="R112" s="115" t="str">
        <f t="shared" si="32"/>
        <v>-</v>
      </c>
      <c r="S112" s="883"/>
      <c r="T112" s="113">
        <v>0</v>
      </c>
      <c r="U112" s="113"/>
      <c r="V112" s="114">
        <f t="shared" si="33"/>
        <v>0</v>
      </c>
      <c r="W112" s="115" t="str">
        <f t="shared" si="34"/>
        <v>-</v>
      </c>
      <c r="X112" s="870"/>
    </row>
    <row r="113" spans="1:24" s="244" customFormat="1" ht="46.5" customHeight="1" x14ac:dyDescent="0.2">
      <c r="A113" s="130">
        <v>2330</v>
      </c>
      <c r="B113" s="139" t="s">
        <v>193</v>
      </c>
      <c r="C113" s="308">
        <v>0</v>
      </c>
      <c r="D113" s="308">
        <v>0</v>
      </c>
      <c r="E113" s="308">
        <v>0</v>
      </c>
      <c r="F113" s="137"/>
      <c r="G113" s="251">
        <f t="shared" si="27"/>
        <v>0</v>
      </c>
      <c r="H113" s="252" t="str">
        <f t="shared" si="28"/>
        <v>-</v>
      </c>
      <c r="I113" s="352"/>
      <c r="J113" s="308">
        <v>0</v>
      </c>
      <c r="K113" s="137"/>
      <c r="L113" s="251">
        <f t="shared" si="29"/>
        <v>0</v>
      </c>
      <c r="M113" s="252" t="str">
        <f t="shared" si="30"/>
        <v>-</v>
      </c>
      <c r="N113" s="352"/>
      <c r="O113" s="308">
        <v>0</v>
      </c>
      <c r="P113" s="308"/>
      <c r="Q113" s="251">
        <f t="shared" si="31"/>
        <v>0</v>
      </c>
      <c r="R113" s="252" t="str">
        <f t="shared" si="32"/>
        <v>-</v>
      </c>
      <c r="S113" s="253"/>
      <c r="T113" s="120">
        <v>0</v>
      </c>
      <c r="U113" s="120"/>
      <c r="V113" s="251">
        <f t="shared" si="33"/>
        <v>0</v>
      </c>
      <c r="W113" s="252" t="str">
        <f t="shared" si="34"/>
        <v>-</v>
      </c>
      <c r="X113" s="778"/>
    </row>
    <row r="114" spans="1:24" s="244" customFormat="1" ht="46.5" customHeight="1" x14ac:dyDescent="0.2">
      <c r="A114" s="130">
        <v>2340</v>
      </c>
      <c r="B114" s="136" t="s">
        <v>194</v>
      </c>
      <c r="C114" s="308">
        <v>7314600.6799999997</v>
      </c>
      <c r="D114" s="308">
        <v>7233873.6799999997</v>
      </c>
      <c r="E114" s="308">
        <v>1713908.64</v>
      </c>
      <c r="F114" s="308">
        <f>F115+F116+F117</f>
        <v>1805013.05</v>
      </c>
      <c r="G114" s="251">
        <f t="shared" si="27"/>
        <v>91104.410000000149</v>
      </c>
      <c r="H114" s="252">
        <f t="shared" si="28"/>
        <v>5.3155931345325473E-2</v>
      </c>
      <c r="I114" s="861"/>
      <c r="J114" s="308">
        <v>3488723.64</v>
      </c>
      <c r="K114" s="308">
        <f>K115+K116+K117</f>
        <v>3809120.93</v>
      </c>
      <c r="L114" s="251">
        <f>K114-J114</f>
        <v>320397.29000000004</v>
      </c>
      <c r="M114" s="252">
        <f t="shared" si="30"/>
        <v>9.1837967996800121E-2</v>
      </c>
      <c r="N114" s="861"/>
      <c r="O114" s="308">
        <v>5332954.96</v>
      </c>
      <c r="P114" s="308">
        <f>P115+P116+P117</f>
        <v>5789592.7300000004</v>
      </c>
      <c r="Q114" s="251">
        <f t="shared" si="31"/>
        <v>456637.77000000048</v>
      </c>
      <c r="R114" s="252">
        <f t="shared" si="32"/>
        <v>8.5625656587206667E-2</v>
      </c>
      <c r="S114" s="861"/>
      <c r="T114" s="120">
        <v>7233873.6799999997</v>
      </c>
      <c r="U114" s="120">
        <f>U115+U116+U117</f>
        <v>7697455.2400000002</v>
      </c>
      <c r="V114" s="251">
        <f t="shared" si="33"/>
        <v>463581.56000000052</v>
      </c>
      <c r="W114" s="252">
        <f t="shared" si="34"/>
        <v>6.4084829305451813E-2</v>
      </c>
      <c r="X114" s="857"/>
    </row>
    <row r="115" spans="1:24" s="2" customFormat="1" ht="46.5" customHeight="1" x14ac:dyDescent="0.2">
      <c r="A115" s="254">
        <v>2341</v>
      </c>
      <c r="B115" s="140" t="s">
        <v>195</v>
      </c>
      <c r="C115" s="312">
        <v>876450.14999999991</v>
      </c>
      <c r="D115" s="312">
        <v>880712.27999999991</v>
      </c>
      <c r="E115" s="312">
        <v>211482.18</v>
      </c>
      <c r="F115" s="312">
        <f>240931.58-F116</f>
        <v>218591.03999999998</v>
      </c>
      <c r="G115" s="128">
        <f t="shared" si="27"/>
        <v>7108.859999999986</v>
      </c>
      <c r="H115" s="129">
        <f t="shared" si="28"/>
        <v>3.3614463403015736E-2</v>
      </c>
      <c r="I115" s="862"/>
      <c r="J115" s="312">
        <v>428282.43</v>
      </c>
      <c r="K115" s="312">
        <f>460309.23-K116</f>
        <v>418263.41</v>
      </c>
      <c r="L115" s="128">
        <f t="shared" si="29"/>
        <v>-10019.020000000019</v>
      </c>
      <c r="M115" s="129">
        <f t="shared" si="30"/>
        <v>-2.3393488264274627E-2</v>
      </c>
      <c r="N115" s="862"/>
      <c r="O115" s="312">
        <v>664420.36</v>
      </c>
      <c r="P115" s="312">
        <f>713666.61-P116</f>
        <v>647015.84</v>
      </c>
      <c r="Q115" s="128">
        <f t="shared" si="31"/>
        <v>-17404.520000000019</v>
      </c>
      <c r="R115" s="129">
        <f t="shared" si="32"/>
        <v>-2.619504315009254E-2</v>
      </c>
      <c r="S115" s="862"/>
      <c r="T115" s="385">
        <v>880712.27999999991</v>
      </c>
      <c r="U115" s="385">
        <v>851402.98</v>
      </c>
      <c r="V115" s="128">
        <f t="shared" si="33"/>
        <v>-29309.29999999993</v>
      </c>
      <c r="W115" s="129">
        <f t="shared" si="34"/>
        <v>-3.3279086332258172E-2</v>
      </c>
      <c r="X115" s="858"/>
    </row>
    <row r="116" spans="1:24" s="3" customFormat="1" ht="46.5" customHeight="1" x14ac:dyDescent="0.2">
      <c r="A116" s="254">
        <v>2343</v>
      </c>
      <c r="B116" s="140" t="s">
        <v>196</v>
      </c>
      <c r="C116" s="312">
        <v>77908.37999999999</v>
      </c>
      <c r="D116" s="312">
        <v>80738.179999999993</v>
      </c>
      <c r="E116" s="312">
        <v>21771.43</v>
      </c>
      <c r="F116" s="312">
        <f>22382.42-41.88</f>
        <v>22340.539999999997</v>
      </c>
      <c r="G116" s="629">
        <f t="shared" si="27"/>
        <v>569.10999999999694</v>
      </c>
      <c r="H116" s="129">
        <f t="shared" si="28"/>
        <v>2.6140221381875096E-2</v>
      </c>
      <c r="I116" s="862"/>
      <c r="J116" s="312">
        <v>40746.07</v>
      </c>
      <c r="K116" s="312">
        <f>42045.82</f>
        <v>42045.82</v>
      </c>
      <c r="L116" s="629">
        <f t="shared" si="29"/>
        <v>1299.75</v>
      </c>
      <c r="M116" s="129">
        <f t="shared" si="30"/>
        <v>3.1898781894793782E-2</v>
      </c>
      <c r="N116" s="862"/>
      <c r="O116" s="312">
        <v>61506.07</v>
      </c>
      <c r="P116" s="312">
        <v>66650.77</v>
      </c>
      <c r="Q116" s="629">
        <f t="shared" si="31"/>
        <v>5144.7000000000044</v>
      </c>
      <c r="R116" s="129">
        <f t="shared" si="32"/>
        <v>8.3645402803333144E-2</v>
      </c>
      <c r="S116" s="862"/>
      <c r="T116" s="385">
        <v>80738.179999999993</v>
      </c>
      <c r="U116" s="385">
        <v>90391.55</v>
      </c>
      <c r="V116" s="128">
        <f t="shared" si="33"/>
        <v>9653.3700000000099</v>
      </c>
      <c r="W116" s="129">
        <f t="shared" si="34"/>
        <v>0.11956387919569168</v>
      </c>
      <c r="X116" s="858"/>
    </row>
    <row r="117" spans="1:24" s="3" customFormat="1" ht="46.5" customHeight="1" x14ac:dyDescent="0.2">
      <c r="A117" s="254">
        <v>2344</v>
      </c>
      <c r="B117" s="140" t="s">
        <v>197</v>
      </c>
      <c r="C117" s="312">
        <v>6360242.1500000004</v>
      </c>
      <c r="D117" s="312">
        <v>6272423.2200000007</v>
      </c>
      <c r="E117" s="312">
        <v>1480655.03</v>
      </c>
      <c r="F117" s="312">
        <v>1564081.47</v>
      </c>
      <c r="G117" s="128">
        <f t="shared" si="27"/>
        <v>83426.439999999944</v>
      </c>
      <c r="H117" s="129">
        <f t="shared" si="28"/>
        <v>5.6344278923632835E-2</v>
      </c>
      <c r="I117" s="863"/>
      <c r="J117" s="312">
        <v>3019695.1400000006</v>
      </c>
      <c r="K117" s="312">
        <v>3348811.7</v>
      </c>
      <c r="L117" s="128">
        <f t="shared" si="29"/>
        <v>329116.55999999959</v>
      </c>
      <c r="M117" s="129">
        <f t="shared" si="30"/>
        <v>0.10898999559273376</v>
      </c>
      <c r="N117" s="863"/>
      <c r="O117" s="312">
        <v>4607028.5300000012</v>
      </c>
      <c r="P117" s="312">
        <v>5075926.12</v>
      </c>
      <c r="Q117" s="128">
        <f t="shared" si="31"/>
        <v>468897.58999999892</v>
      </c>
      <c r="R117" s="129">
        <f t="shared" si="32"/>
        <v>0.10177874674459608</v>
      </c>
      <c r="S117" s="863"/>
      <c r="T117" s="385">
        <v>6272423.2200000007</v>
      </c>
      <c r="U117" s="385">
        <v>6755660.71</v>
      </c>
      <c r="V117" s="128">
        <f t="shared" si="33"/>
        <v>483237.48999999929</v>
      </c>
      <c r="W117" s="129">
        <f t="shared" si="34"/>
        <v>7.7041595098233703E-2</v>
      </c>
      <c r="X117" s="859"/>
    </row>
    <row r="118" spans="1:24" s="244" customFormat="1" ht="46.5" customHeight="1" x14ac:dyDescent="0.2">
      <c r="A118" s="130">
        <v>2350</v>
      </c>
      <c r="B118" s="139" t="s">
        <v>198</v>
      </c>
      <c r="C118" s="308">
        <v>14406.669999999998</v>
      </c>
      <c r="D118" s="308">
        <v>13444.670000000002</v>
      </c>
      <c r="E118" s="308">
        <v>3610.15</v>
      </c>
      <c r="F118" s="308">
        <v>2162.5500000000002</v>
      </c>
      <c r="G118" s="251">
        <f t="shared" si="27"/>
        <v>-1447.6</v>
      </c>
      <c r="H118" s="252">
        <f t="shared" si="28"/>
        <v>-0.40098056867443177</v>
      </c>
      <c r="I118" s="138"/>
      <c r="J118" s="308">
        <v>7377.7500000000009</v>
      </c>
      <c r="K118" s="308">
        <v>4224.17</v>
      </c>
      <c r="L118" s="251">
        <f t="shared" si="29"/>
        <v>-3153.5800000000008</v>
      </c>
      <c r="M118" s="252">
        <f t="shared" si="30"/>
        <v>-0.42744468164413274</v>
      </c>
      <c r="N118" s="630" t="s">
        <v>199</v>
      </c>
      <c r="O118" s="308">
        <v>10418.880000000003</v>
      </c>
      <c r="P118" s="308">
        <v>9335.64</v>
      </c>
      <c r="Q118" s="251">
        <f t="shared" si="31"/>
        <v>-1083.2400000000034</v>
      </c>
      <c r="R118" s="252">
        <f t="shared" si="32"/>
        <v>-0.10396894867778525</v>
      </c>
      <c r="S118" s="253"/>
      <c r="T118" s="120">
        <v>13444.670000000002</v>
      </c>
      <c r="U118" s="120">
        <v>15839.85</v>
      </c>
      <c r="V118" s="251">
        <f t="shared" si="33"/>
        <v>2395.1799999999985</v>
      </c>
      <c r="W118" s="252">
        <f t="shared" si="34"/>
        <v>0.17815089548497642</v>
      </c>
      <c r="X118" s="767" t="s">
        <v>200</v>
      </c>
    </row>
    <row r="119" spans="1:24" s="244" customFormat="1" ht="46.5" customHeight="1" x14ac:dyDescent="0.2">
      <c r="A119" s="130">
        <v>2360</v>
      </c>
      <c r="B119" s="136" t="s">
        <v>201</v>
      </c>
      <c r="C119" s="311">
        <v>289516.69999999995</v>
      </c>
      <c r="D119" s="311">
        <v>283913.89</v>
      </c>
      <c r="E119" s="311">
        <v>70632.66</v>
      </c>
      <c r="F119" s="247">
        <f>SUM(F120:F125)</f>
        <v>74067.03</v>
      </c>
      <c r="G119" s="251">
        <f t="shared" si="27"/>
        <v>3434.3699999999953</v>
      </c>
      <c r="H119" s="252">
        <f t="shared" si="28"/>
        <v>4.8622974131230443E-2</v>
      </c>
      <c r="I119" s="888" t="s">
        <v>202</v>
      </c>
      <c r="J119" s="311">
        <v>140469</v>
      </c>
      <c r="K119" s="247">
        <f>SUM(K120:K125)</f>
        <v>144082.49</v>
      </c>
      <c r="L119" s="251">
        <f t="shared" si="29"/>
        <v>3613.4899999999907</v>
      </c>
      <c r="M119" s="252">
        <f t="shared" si="30"/>
        <v>2.5724465896389884E-2</v>
      </c>
      <c r="N119" s="864" t="s">
        <v>203</v>
      </c>
      <c r="O119" s="311">
        <v>212468.49</v>
      </c>
      <c r="P119" s="311">
        <f>SUM(P120:P125)</f>
        <v>216409.13999999998</v>
      </c>
      <c r="Q119" s="251">
        <f t="shared" si="31"/>
        <v>3940.6499999999942</v>
      </c>
      <c r="R119" s="252">
        <f t="shared" si="32"/>
        <v>1.8546985484765268E-2</v>
      </c>
      <c r="S119" s="872" t="s">
        <v>204</v>
      </c>
      <c r="T119" s="247">
        <v>283913.89</v>
      </c>
      <c r="U119" s="247">
        <f>SUM(U120:U125)</f>
        <v>290061.48</v>
      </c>
      <c r="V119" s="251">
        <f t="shared" si="33"/>
        <v>6147.5899999999674</v>
      </c>
      <c r="W119" s="252">
        <f t="shared" si="34"/>
        <v>2.1653008945775661E-2</v>
      </c>
      <c r="X119" s="854" t="s">
        <v>205</v>
      </c>
    </row>
    <row r="120" spans="1:24" s="2" customFormat="1" ht="46.5" customHeight="1" x14ac:dyDescent="0.2">
      <c r="A120" s="243">
        <v>2361</v>
      </c>
      <c r="B120" s="133" t="s">
        <v>206</v>
      </c>
      <c r="C120" s="306">
        <v>10450.630000000001</v>
      </c>
      <c r="D120" s="306">
        <v>10209.84</v>
      </c>
      <c r="E120" s="306">
        <v>1834.96</v>
      </c>
      <c r="F120" s="113">
        <v>2368.09</v>
      </c>
      <c r="G120" s="114">
        <f t="shared" si="27"/>
        <v>533.13000000000011</v>
      </c>
      <c r="H120" s="115">
        <f>IFERROR(G120/ABS(E120), "-")</f>
        <v>0.29054039325107911</v>
      </c>
      <c r="I120" s="889"/>
      <c r="J120" s="442">
        <v>7047.9</v>
      </c>
      <c r="K120" s="443">
        <v>2978.55</v>
      </c>
      <c r="L120" s="444">
        <f t="shared" si="29"/>
        <v>-4069.3499999999995</v>
      </c>
      <c r="M120" s="445">
        <f t="shared" si="30"/>
        <v>-0.57738475290512059</v>
      </c>
      <c r="N120" s="865"/>
      <c r="O120" s="307">
        <v>8808.34</v>
      </c>
      <c r="P120" s="306">
        <v>3235.7</v>
      </c>
      <c r="Q120" s="114">
        <f t="shared" si="31"/>
        <v>-5572.64</v>
      </c>
      <c r="R120" s="115">
        <f t="shared" si="32"/>
        <v>-0.63265496109369079</v>
      </c>
      <c r="S120" s="873"/>
      <c r="T120" s="117">
        <v>10209.84</v>
      </c>
      <c r="U120" s="113">
        <v>4738.34</v>
      </c>
      <c r="V120" s="114">
        <f t="shared" si="33"/>
        <v>-5471.5</v>
      </c>
      <c r="W120" s="115">
        <f t="shared" si="34"/>
        <v>-0.53590457832835769</v>
      </c>
      <c r="X120" s="855"/>
    </row>
    <row r="121" spans="1:24" s="2" customFormat="1" ht="46.5" customHeight="1" x14ac:dyDescent="0.2">
      <c r="A121" s="243">
        <v>2362</v>
      </c>
      <c r="B121" s="133" t="s">
        <v>207</v>
      </c>
      <c r="C121" s="306">
        <v>817.06999999999994</v>
      </c>
      <c r="D121" s="306">
        <v>886.95</v>
      </c>
      <c r="E121" s="306">
        <v>157.19999999999999</v>
      </c>
      <c r="F121" s="113">
        <v>117.14</v>
      </c>
      <c r="G121" s="114">
        <f t="shared" si="27"/>
        <v>-40.059999999999988</v>
      </c>
      <c r="H121" s="115">
        <f t="shared" si="28"/>
        <v>-0.25483460559796434</v>
      </c>
      <c r="I121" s="889"/>
      <c r="J121" s="306">
        <v>157.19999999999999</v>
      </c>
      <c r="K121" s="113">
        <v>117.14</v>
      </c>
      <c r="L121" s="114">
        <f t="shared" si="29"/>
        <v>-40.059999999999988</v>
      </c>
      <c r="M121" s="115">
        <f t="shared" si="30"/>
        <v>-0.25483460559796434</v>
      </c>
      <c r="N121" s="865"/>
      <c r="O121" s="307">
        <v>886.95</v>
      </c>
      <c r="P121" s="306">
        <v>117.14</v>
      </c>
      <c r="Q121" s="114">
        <f t="shared" si="31"/>
        <v>-769.81000000000006</v>
      </c>
      <c r="R121" s="115">
        <f t="shared" si="32"/>
        <v>-0.86792942104966464</v>
      </c>
      <c r="S121" s="873"/>
      <c r="T121" s="113">
        <v>886.95</v>
      </c>
      <c r="U121" s="113">
        <v>117.14</v>
      </c>
      <c r="V121" s="114">
        <f t="shared" si="33"/>
        <v>-769.81000000000006</v>
      </c>
      <c r="W121" s="115">
        <f t="shared" si="34"/>
        <v>-0.86792942104966464</v>
      </c>
      <c r="X121" s="855"/>
    </row>
    <row r="122" spans="1:24" s="2" customFormat="1" ht="46.5" customHeight="1" x14ac:dyDescent="0.2">
      <c r="A122" s="243">
        <v>2363</v>
      </c>
      <c r="B122" s="133" t="s">
        <v>208</v>
      </c>
      <c r="C122" s="306">
        <v>278249</v>
      </c>
      <c r="D122" s="306">
        <v>272817.10000000003</v>
      </c>
      <c r="E122" s="306">
        <v>68640.5</v>
      </c>
      <c r="F122" s="113">
        <v>71581.8</v>
      </c>
      <c r="G122" s="114">
        <f t="shared" si="27"/>
        <v>2941.3000000000029</v>
      </c>
      <c r="H122" s="115">
        <f t="shared" si="28"/>
        <v>4.2850795084534682E-2</v>
      </c>
      <c r="I122" s="889"/>
      <c r="J122" s="306">
        <v>133263.9</v>
      </c>
      <c r="K122" s="113">
        <v>140986.79999999999</v>
      </c>
      <c r="L122" s="114">
        <f t="shared" si="29"/>
        <v>7722.8999999999942</v>
      </c>
      <c r="M122" s="115">
        <f t="shared" si="30"/>
        <v>5.7951928466749021E-2</v>
      </c>
      <c r="N122" s="865"/>
      <c r="O122" s="306">
        <v>202773.2</v>
      </c>
      <c r="P122" s="306">
        <v>213056.3</v>
      </c>
      <c r="Q122" s="114">
        <f t="shared" si="31"/>
        <v>10283.099999999977</v>
      </c>
      <c r="R122" s="115">
        <f t="shared" si="32"/>
        <v>5.0712322930249049E-2</v>
      </c>
      <c r="S122" s="873"/>
      <c r="T122" s="113">
        <v>272817.10000000003</v>
      </c>
      <c r="U122" s="113">
        <v>285206</v>
      </c>
      <c r="V122" s="114">
        <f t="shared" si="33"/>
        <v>12388.899999999965</v>
      </c>
      <c r="W122" s="115">
        <f t="shared" si="34"/>
        <v>4.5411009793740804E-2</v>
      </c>
      <c r="X122" s="855"/>
    </row>
    <row r="123" spans="1:24" s="2" customFormat="1" ht="46.5" customHeight="1" x14ac:dyDescent="0.2">
      <c r="A123" s="243">
        <v>2364</v>
      </c>
      <c r="B123" s="133" t="s">
        <v>209</v>
      </c>
      <c r="C123" s="306">
        <v>0</v>
      </c>
      <c r="D123" s="306">
        <v>0</v>
      </c>
      <c r="E123" s="306">
        <v>0</v>
      </c>
      <c r="F123" s="113"/>
      <c r="G123" s="114">
        <f t="shared" si="27"/>
        <v>0</v>
      </c>
      <c r="H123" s="115" t="str">
        <f t="shared" si="28"/>
        <v>-</v>
      </c>
      <c r="I123" s="889"/>
      <c r="J123" s="306">
        <v>0</v>
      </c>
      <c r="K123" s="113"/>
      <c r="L123" s="114">
        <f t="shared" si="29"/>
        <v>0</v>
      </c>
      <c r="M123" s="115" t="str">
        <f t="shared" si="30"/>
        <v>-</v>
      </c>
      <c r="N123" s="865"/>
      <c r="O123" s="306">
        <v>0</v>
      </c>
      <c r="P123" s="306"/>
      <c r="Q123" s="114">
        <f t="shared" si="31"/>
        <v>0</v>
      </c>
      <c r="R123" s="115" t="str">
        <f t="shared" si="32"/>
        <v>-</v>
      </c>
      <c r="S123" s="873"/>
      <c r="T123" s="113">
        <v>0</v>
      </c>
      <c r="U123" s="113"/>
      <c r="V123" s="114">
        <f t="shared" si="33"/>
        <v>0</v>
      </c>
      <c r="W123" s="115" t="str">
        <f t="shared" si="34"/>
        <v>-</v>
      </c>
      <c r="X123" s="855"/>
    </row>
    <row r="124" spans="1:24" s="3" customFormat="1" ht="46.5" customHeight="1" x14ac:dyDescent="0.2">
      <c r="A124" s="243">
        <v>2366</v>
      </c>
      <c r="B124" s="133" t="s">
        <v>210</v>
      </c>
      <c r="C124" s="306">
        <v>0</v>
      </c>
      <c r="D124" s="306">
        <v>0</v>
      </c>
      <c r="E124" s="306">
        <v>0</v>
      </c>
      <c r="F124" s="113"/>
      <c r="G124" s="114">
        <f t="shared" si="27"/>
        <v>0</v>
      </c>
      <c r="H124" s="115" t="str">
        <f t="shared" si="28"/>
        <v>-</v>
      </c>
      <c r="I124" s="889"/>
      <c r="J124" s="306">
        <v>0</v>
      </c>
      <c r="K124" s="113"/>
      <c r="L124" s="114">
        <f t="shared" si="29"/>
        <v>0</v>
      </c>
      <c r="M124" s="115" t="str">
        <f t="shared" si="30"/>
        <v>-</v>
      </c>
      <c r="N124" s="865"/>
      <c r="O124" s="306">
        <v>0</v>
      </c>
      <c r="P124" s="306"/>
      <c r="Q124" s="114">
        <f t="shared" si="31"/>
        <v>0</v>
      </c>
      <c r="R124" s="115" t="str">
        <f t="shared" si="32"/>
        <v>-</v>
      </c>
      <c r="S124" s="873"/>
      <c r="T124" s="113">
        <v>0</v>
      </c>
      <c r="U124" s="113"/>
      <c r="V124" s="114">
        <f t="shared" si="33"/>
        <v>0</v>
      </c>
      <c r="W124" s="115" t="str">
        <f t="shared" si="34"/>
        <v>-</v>
      </c>
      <c r="X124" s="855"/>
    </row>
    <row r="125" spans="1:24" s="3" customFormat="1" ht="46.5" customHeight="1" x14ac:dyDescent="0.2">
      <c r="A125" s="243">
        <v>2369</v>
      </c>
      <c r="B125" s="133" t="s">
        <v>211</v>
      </c>
      <c r="C125" s="113">
        <v>0</v>
      </c>
      <c r="D125" s="306">
        <v>0</v>
      </c>
      <c r="E125" s="306">
        <v>0</v>
      </c>
      <c r="F125" s="113"/>
      <c r="G125" s="114">
        <f t="shared" si="27"/>
        <v>0</v>
      </c>
      <c r="H125" s="115" t="str">
        <f t="shared" si="28"/>
        <v>-</v>
      </c>
      <c r="I125" s="890"/>
      <c r="J125" s="306">
        <v>0</v>
      </c>
      <c r="K125" s="113"/>
      <c r="L125" s="114">
        <f t="shared" si="29"/>
        <v>0</v>
      </c>
      <c r="M125" s="115" t="str">
        <f t="shared" si="30"/>
        <v>-</v>
      </c>
      <c r="N125" s="866"/>
      <c r="O125" s="306">
        <v>0</v>
      </c>
      <c r="P125" s="306"/>
      <c r="Q125" s="114">
        <f t="shared" si="31"/>
        <v>0</v>
      </c>
      <c r="R125" s="115" t="str">
        <f t="shared" si="32"/>
        <v>-</v>
      </c>
      <c r="S125" s="874"/>
      <c r="T125" s="113">
        <v>0</v>
      </c>
      <c r="U125" s="113"/>
      <c r="V125" s="114">
        <f t="shared" si="33"/>
        <v>0</v>
      </c>
      <c r="W125" s="115" t="str">
        <f t="shared" si="34"/>
        <v>-</v>
      </c>
      <c r="X125" s="856"/>
    </row>
    <row r="126" spans="1:24" s="244" customFormat="1" ht="46.5" customHeight="1" x14ac:dyDescent="0.2">
      <c r="A126" s="130">
        <v>2370</v>
      </c>
      <c r="B126" s="139" t="s">
        <v>212</v>
      </c>
      <c r="C126" s="120">
        <v>0</v>
      </c>
      <c r="D126" s="308">
        <v>0</v>
      </c>
      <c r="E126" s="308">
        <v>0</v>
      </c>
      <c r="F126" s="120"/>
      <c r="G126" s="251">
        <f t="shared" si="27"/>
        <v>0</v>
      </c>
      <c r="H126" s="252" t="str">
        <f t="shared" si="28"/>
        <v>-</v>
      </c>
      <c r="I126" s="253"/>
      <c r="J126" s="308">
        <v>0</v>
      </c>
      <c r="K126" s="120"/>
      <c r="L126" s="251">
        <f t="shared" si="29"/>
        <v>0</v>
      </c>
      <c r="M126" s="252" t="str">
        <f t="shared" si="30"/>
        <v>-</v>
      </c>
      <c r="N126" s="253"/>
      <c r="O126" s="308">
        <v>0</v>
      </c>
      <c r="P126" s="308"/>
      <c r="Q126" s="251">
        <f t="shared" si="31"/>
        <v>0</v>
      </c>
      <c r="R126" s="252" t="str">
        <f t="shared" si="32"/>
        <v>-</v>
      </c>
      <c r="S126" s="253"/>
      <c r="T126" s="120">
        <v>0</v>
      </c>
      <c r="U126" s="120"/>
      <c r="V126" s="251">
        <f t="shared" si="33"/>
        <v>0</v>
      </c>
      <c r="W126" s="252" t="str">
        <f t="shared" si="34"/>
        <v>-</v>
      </c>
      <c r="X126" s="778"/>
    </row>
    <row r="127" spans="1:24" s="244" customFormat="1" ht="46.5" customHeight="1" x14ac:dyDescent="0.2">
      <c r="A127" s="130">
        <v>2380</v>
      </c>
      <c r="B127" s="139" t="s">
        <v>213</v>
      </c>
      <c r="C127" s="137">
        <v>0</v>
      </c>
      <c r="D127" s="308">
        <v>0</v>
      </c>
      <c r="E127" s="308">
        <v>0</v>
      </c>
      <c r="F127" s="137"/>
      <c r="G127" s="251">
        <f t="shared" si="27"/>
        <v>0</v>
      </c>
      <c r="H127" s="252" t="str">
        <f t="shared" si="28"/>
        <v>-</v>
      </c>
      <c r="I127" s="253"/>
      <c r="J127" s="308">
        <v>0</v>
      </c>
      <c r="K127" s="137"/>
      <c r="L127" s="251">
        <f t="shared" si="29"/>
        <v>0</v>
      </c>
      <c r="M127" s="252" t="str">
        <f t="shared" si="30"/>
        <v>-</v>
      </c>
      <c r="N127" s="253"/>
      <c r="O127" s="308">
        <v>0</v>
      </c>
      <c r="P127" s="308"/>
      <c r="Q127" s="251">
        <f t="shared" si="31"/>
        <v>0</v>
      </c>
      <c r="R127" s="252" t="str">
        <f t="shared" si="32"/>
        <v>-</v>
      </c>
      <c r="S127" s="253"/>
      <c r="T127" s="120">
        <v>0</v>
      </c>
      <c r="U127" s="120"/>
      <c r="V127" s="251">
        <f t="shared" si="33"/>
        <v>0</v>
      </c>
      <c r="W127" s="252" t="str">
        <f t="shared" si="34"/>
        <v>-</v>
      </c>
      <c r="X127" s="778"/>
    </row>
    <row r="128" spans="1:24" s="246" customFormat="1" ht="46.5" customHeight="1" x14ac:dyDescent="0.2">
      <c r="A128" s="130">
        <v>2390</v>
      </c>
      <c r="B128" s="139" t="s">
        <v>214</v>
      </c>
      <c r="C128" s="120">
        <v>0</v>
      </c>
      <c r="D128" s="308">
        <v>0</v>
      </c>
      <c r="E128" s="308">
        <v>0</v>
      </c>
      <c r="F128" s="120"/>
      <c r="G128" s="251">
        <f t="shared" si="27"/>
        <v>0</v>
      </c>
      <c r="H128" s="252" t="str">
        <f t="shared" si="28"/>
        <v>-</v>
      </c>
      <c r="I128" s="253"/>
      <c r="J128" s="308">
        <v>0</v>
      </c>
      <c r="K128" s="120"/>
      <c r="L128" s="251">
        <f t="shared" si="29"/>
        <v>0</v>
      </c>
      <c r="M128" s="252" t="str">
        <f t="shared" si="30"/>
        <v>-</v>
      </c>
      <c r="N128" s="253"/>
      <c r="O128" s="308">
        <v>0</v>
      </c>
      <c r="P128" s="308"/>
      <c r="Q128" s="251">
        <f t="shared" si="31"/>
        <v>0</v>
      </c>
      <c r="R128" s="252" t="str">
        <f t="shared" si="32"/>
        <v>-</v>
      </c>
      <c r="S128" s="253"/>
      <c r="T128" s="120">
        <v>0</v>
      </c>
      <c r="U128" s="120"/>
      <c r="V128" s="251">
        <f t="shared" si="33"/>
        <v>0</v>
      </c>
      <c r="W128" s="252" t="str">
        <f t="shared" si="34"/>
        <v>-</v>
      </c>
      <c r="X128" s="778"/>
    </row>
    <row r="129" spans="1:24" ht="46.5" customHeight="1" x14ac:dyDescent="0.2">
      <c r="A129" s="99">
        <v>2500</v>
      </c>
      <c r="B129" s="150" t="s">
        <v>215</v>
      </c>
      <c r="C129" s="305">
        <v>1880857.83</v>
      </c>
      <c r="D129" s="305">
        <v>1849402.25</v>
      </c>
      <c r="E129" s="305">
        <v>467291.76999999996</v>
      </c>
      <c r="F129" s="305">
        <f t="shared" ref="F129" si="39">SUM(F130+F138)</f>
        <v>472563.91</v>
      </c>
      <c r="G129" s="146">
        <f t="shared" si="27"/>
        <v>5272.140000000014</v>
      </c>
      <c r="H129" s="147">
        <f t="shared" si="28"/>
        <v>1.1282330095392038E-2</v>
      </c>
      <c r="I129" s="155"/>
      <c r="J129" s="305">
        <v>913640.26</v>
      </c>
      <c r="K129" s="305">
        <f t="shared" ref="K129" si="40">SUM(K130+K138)</f>
        <v>961486.47</v>
      </c>
      <c r="L129" s="146">
        <f t="shared" si="29"/>
        <v>47846.209999999963</v>
      </c>
      <c r="M129" s="147">
        <f t="shared" si="30"/>
        <v>5.2368762733813815E-2</v>
      </c>
      <c r="N129" s="155"/>
      <c r="O129" s="305">
        <v>1378379.2000000002</v>
      </c>
      <c r="P129" s="305">
        <f t="shared" ref="P129" si="41">SUM(P130+P138)</f>
        <v>1429047.0699999998</v>
      </c>
      <c r="Q129" s="146">
        <f t="shared" si="31"/>
        <v>50667.869999999646</v>
      </c>
      <c r="R129" s="147">
        <f t="shared" si="32"/>
        <v>3.6759021029916614E-2</v>
      </c>
      <c r="S129" s="155"/>
      <c r="T129" s="145">
        <v>1849402.25</v>
      </c>
      <c r="U129" s="145">
        <f t="shared" ref="U129" si="42">SUM(U130+U138)</f>
        <v>1961414.21</v>
      </c>
      <c r="V129" s="146">
        <f t="shared" si="33"/>
        <v>112011.95999999996</v>
      </c>
      <c r="W129" s="147">
        <f t="shared" si="34"/>
        <v>6.0566574956854281E-2</v>
      </c>
      <c r="X129" s="774"/>
    </row>
    <row r="130" spans="1:24" s="246" customFormat="1" ht="46.5" customHeight="1" x14ac:dyDescent="0.2">
      <c r="A130" s="130">
        <v>2510</v>
      </c>
      <c r="B130" s="139" t="s">
        <v>216</v>
      </c>
      <c r="C130" s="311">
        <v>1880857.83</v>
      </c>
      <c r="D130" s="311">
        <v>1849402.25</v>
      </c>
      <c r="E130" s="311">
        <v>467291.76999999996</v>
      </c>
      <c r="F130" s="311">
        <f>SUM(F131:F137)</f>
        <v>472563.91</v>
      </c>
      <c r="G130" s="121">
        <f t="shared" si="27"/>
        <v>5272.140000000014</v>
      </c>
      <c r="H130" s="122">
        <f t="shared" si="28"/>
        <v>1.1282330095392038E-2</v>
      </c>
      <c r="I130" s="853"/>
      <c r="J130" s="311">
        <v>913640.26</v>
      </c>
      <c r="K130" s="311">
        <f>SUM(K131:K137)</f>
        <v>961486.47</v>
      </c>
      <c r="L130" s="121">
        <f t="shared" si="29"/>
        <v>47846.209999999963</v>
      </c>
      <c r="M130" s="122">
        <f t="shared" si="30"/>
        <v>5.2368762733813815E-2</v>
      </c>
      <c r="N130" s="853"/>
      <c r="O130" s="311">
        <v>1378379.2000000002</v>
      </c>
      <c r="P130" s="311">
        <f>SUM(P131:P137)</f>
        <v>1429047.0699999998</v>
      </c>
      <c r="Q130" s="121">
        <f t="shared" si="31"/>
        <v>50667.869999999646</v>
      </c>
      <c r="R130" s="122">
        <f t="shared" si="32"/>
        <v>3.6759021029916614E-2</v>
      </c>
      <c r="S130" s="853"/>
      <c r="T130" s="247">
        <v>1849402.25</v>
      </c>
      <c r="U130" s="247">
        <f>SUM(U131:U137)</f>
        <v>1961414.21</v>
      </c>
      <c r="V130" s="121">
        <f t="shared" si="33"/>
        <v>112011.95999999996</v>
      </c>
      <c r="W130" s="122">
        <f t="shared" si="34"/>
        <v>6.0566574956854281E-2</v>
      </c>
      <c r="X130" s="860"/>
    </row>
    <row r="131" spans="1:24" ht="46.5" customHeight="1" x14ac:dyDescent="0.2">
      <c r="A131" s="243">
        <v>2512</v>
      </c>
      <c r="B131" s="133" t="s">
        <v>217</v>
      </c>
      <c r="C131" s="113">
        <v>1869004.3099999996</v>
      </c>
      <c r="D131" s="306">
        <v>1837505.5499999998</v>
      </c>
      <c r="E131" s="306">
        <v>464313.26</v>
      </c>
      <c r="F131" s="113">
        <v>469583.02</v>
      </c>
      <c r="G131" s="114">
        <f t="shared" si="27"/>
        <v>5269.7600000000093</v>
      </c>
      <c r="H131" s="115">
        <f t="shared" si="28"/>
        <v>1.1349578945903912E-2</v>
      </c>
      <c r="I131" s="853"/>
      <c r="J131" s="306">
        <v>907691.77999999991</v>
      </c>
      <c r="K131" s="113">
        <v>955042.02</v>
      </c>
      <c r="L131" s="114">
        <f t="shared" si="29"/>
        <v>47350.240000000107</v>
      </c>
      <c r="M131" s="115">
        <f t="shared" si="30"/>
        <v>5.2165548970819271E-2</v>
      </c>
      <c r="N131" s="853"/>
      <c r="O131" s="306">
        <v>1369460.75</v>
      </c>
      <c r="P131" s="306">
        <v>1420093.96</v>
      </c>
      <c r="Q131" s="114">
        <f t="shared" si="31"/>
        <v>50633.209999999963</v>
      </c>
      <c r="R131" s="115">
        <f t="shared" si="32"/>
        <v>3.6973100543407293E-2</v>
      </c>
      <c r="S131" s="853"/>
      <c r="T131" s="113">
        <v>1837505.5499999998</v>
      </c>
      <c r="U131" s="113">
        <f>1949361.17-1.4+101</f>
        <v>1949460.77</v>
      </c>
      <c r="V131" s="114">
        <f t="shared" si="33"/>
        <v>111955.2200000002</v>
      </c>
      <c r="W131" s="115">
        <f t="shared" si="34"/>
        <v>6.0927826857448249E-2</v>
      </c>
      <c r="X131" s="860"/>
    </row>
    <row r="132" spans="1:24" ht="46.5" customHeight="1" x14ac:dyDescent="0.2">
      <c r="A132" s="243">
        <v>2513</v>
      </c>
      <c r="B132" s="133" t="s">
        <v>218</v>
      </c>
      <c r="C132" s="113">
        <v>9074.32</v>
      </c>
      <c r="D132" s="306">
        <v>9106.7000000000007</v>
      </c>
      <c r="E132" s="306">
        <v>2276.87</v>
      </c>
      <c r="F132" s="113">
        <f>2240.46+36.27</f>
        <v>2276.73</v>
      </c>
      <c r="G132" s="114">
        <f t="shared" ref="G132:G173" si="43">F132-E132</f>
        <v>-0.13999999999987267</v>
      </c>
      <c r="H132" s="115">
        <f t="shared" ref="H132:H173" si="44">IFERROR(G132/ABS(E132), "-")</f>
        <v>-6.1487919819696636E-5</v>
      </c>
      <c r="I132" s="853"/>
      <c r="J132" s="306">
        <v>4553.4799999999996</v>
      </c>
      <c r="K132" s="113">
        <f>483.75+4480.92+72.54</f>
        <v>5037.21</v>
      </c>
      <c r="L132" s="114">
        <f t="shared" si="29"/>
        <v>483.73000000000047</v>
      </c>
      <c r="M132" s="115">
        <f t="shared" si="30"/>
        <v>0.10623303495348624</v>
      </c>
      <c r="N132" s="853"/>
      <c r="O132" s="306">
        <v>6830.0899999999992</v>
      </c>
      <c r="P132" s="306">
        <f>108.81+6721.38</f>
        <v>6830.1900000000005</v>
      </c>
      <c r="Q132" s="114">
        <f t="shared" si="31"/>
        <v>0.10000000000127329</v>
      </c>
      <c r="R132" s="115">
        <f t="shared" si="32"/>
        <v>1.4641095505516516E-5</v>
      </c>
      <c r="S132" s="853"/>
      <c r="T132" s="113">
        <v>9106.7000000000007</v>
      </c>
      <c r="U132" s="113">
        <f>8961.84+145.08</f>
        <v>9106.92</v>
      </c>
      <c r="V132" s="114">
        <f t="shared" si="33"/>
        <v>0.21999999999934516</v>
      </c>
      <c r="W132" s="115">
        <f t="shared" si="34"/>
        <v>2.4158037488809903E-5</v>
      </c>
      <c r="X132" s="860"/>
    </row>
    <row r="133" spans="1:24" ht="46.5" customHeight="1" x14ac:dyDescent="0.2">
      <c r="A133" s="243">
        <v>2514</v>
      </c>
      <c r="B133" s="133" t="s">
        <v>219</v>
      </c>
      <c r="C133" s="113">
        <v>0</v>
      </c>
      <c r="D133" s="306">
        <v>0</v>
      </c>
      <c r="E133" s="306">
        <v>0</v>
      </c>
      <c r="F133" s="113"/>
      <c r="G133" s="114">
        <f t="shared" si="43"/>
        <v>0</v>
      </c>
      <c r="H133" s="115" t="str">
        <f t="shared" si="44"/>
        <v>-</v>
      </c>
      <c r="I133" s="853"/>
      <c r="J133" s="306">
        <v>0</v>
      </c>
      <c r="K133" s="113"/>
      <c r="L133" s="114">
        <f t="shared" si="29"/>
        <v>0</v>
      </c>
      <c r="M133" s="115" t="str">
        <f t="shared" si="30"/>
        <v>-</v>
      </c>
      <c r="N133" s="853"/>
      <c r="O133" s="306">
        <v>0</v>
      </c>
      <c r="P133" s="306"/>
      <c r="Q133" s="114">
        <f t="shared" si="31"/>
        <v>0</v>
      </c>
      <c r="R133" s="115" t="str">
        <f t="shared" si="32"/>
        <v>-</v>
      </c>
      <c r="S133" s="853"/>
      <c r="T133" s="113">
        <v>0</v>
      </c>
      <c r="U133" s="113"/>
      <c r="V133" s="114">
        <f t="shared" si="33"/>
        <v>0</v>
      </c>
      <c r="W133" s="115" t="str">
        <f t="shared" si="34"/>
        <v>-</v>
      </c>
      <c r="X133" s="860"/>
    </row>
    <row r="134" spans="1:24" ht="46.5" customHeight="1" x14ac:dyDescent="0.2">
      <c r="A134" s="243">
        <v>2515</v>
      </c>
      <c r="B134" s="133" t="s">
        <v>220</v>
      </c>
      <c r="C134" s="113">
        <v>0</v>
      </c>
      <c r="D134" s="306">
        <v>0</v>
      </c>
      <c r="E134" s="306">
        <v>0</v>
      </c>
      <c r="F134" s="113"/>
      <c r="G134" s="114">
        <f t="shared" si="43"/>
        <v>0</v>
      </c>
      <c r="H134" s="115" t="str">
        <f t="shared" si="44"/>
        <v>-</v>
      </c>
      <c r="I134" s="853"/>
      <c r="J134" s="306">
        <v>0</v>
      </c>
      <c r="K134" s="113"/>
      <c r="L134" s="114">
        <f t="shared" si="29"/>
        <v>0</v>
      </c>
      <c r="M134" s="115" t="str">
        <f t="shared" si="30"/>
        <v>-</v>
      </c>
      <c r="N134" s="853"/>
      <c r="O134" s="306">
        <v>0</v>
      </c>
      <c r="P134" s="306"/>
      <c r="Q134" s="114">
        <f t="shared" si="31"/>
        <v>0</v>
      </c>
      <c r="R134" s="115" t="str">
        <f t="shared" si="32"/>
        <v>-</v>
      </c>
      <c r="S134" s="853"/>
      <c r="T134" s="113">
        <v>0</v>
      </c>
      <c r="U134" s="113"/>
      <c r="V134" s="114">
        <f t="shared" si="33"/>
        <v>0</v>
      </c>
      <c r="W134" s="115" t="str">
        <f t="shared" si="34"/>
        <v>-</v>
      </c>
      <c r="X134" s="860"/>
    </row>
    <row r="135" spans="1:24" ht="46.5" customHeight="1" x14ac:dyDescent="0.2">
      <c r="A135" s="243">
        <v>2516</v>
      </c>
      <c r="B135" s="133" t="s">
        <v>221</v>
      </c>
      <c r="C135" s="113">
        <v>0</v>
      </c>
      <c r="D135" s="306">
        <v>0</v>
      </c>
      <c r="E135" s="306">
        <v>0</v>
      </c>
      <c r="F135" s="113"/>
      <c r="G135" s="114">
        <f t="shared" si="43"/>
        <v>0</v>
      </c>
      <c r="H135" s="115" t="str">
        <f t="shared" si="44"/>
        <v>-</v>
      </c>
      <c r="I135" s="853"/>
      <c r="J135" s="306">
        <v>0</v>
      </c>
      <c r="K135" s="113"/>
      <c r="L135" s="114">
        <f t="shared" ref="L135:L172" si="45">K135-J135</f>
        <v>0</v>
      </c>
      <c r="M135" s="115" t="str">
        <f t="shared" ref="M135:M173" si="46">IFERROR(L135/ABS(J135), "-")</f>
        <v>-</v>
      </c>
      <c r="N135" s="853"/>
      <c r="O135" s="306">
        <v>0</v>
      </c>
      <c r="P135" s="306"/>
      <c r="Q135" s="114">
        <f t="shared" ref="Q135:Q173" si="47">P135-O135</f>
        <v>0</v>
      </c>
      <c r="R135" s="115" t="str">
        <f t="shared" ref="R135:R173" si="48">IFERROR(Q135/ABS(O135), "-")</f>
        <v>-</v>
      </c>
      <c r="S135" s="853"/>
      <c r="T135" s="113">
        <v>0</v>
      </c>
      <c r="U135" s="113"/>
      <c r="V135" s="114">
        <f t="shared" ref="V135:V173" si="49">U135-T135</f>
        <v>0</v>
      </c>
      <c r="W135" s="115" t="str">
        <f t="shared" ref="W135:W173" si="50">IFERROR(V135/ABS(T135), "-")</f>
        <v>-</v>
      </c>
      <c r="X135" s="860"/>
    </row>
    <row r="136" spans="1:24" ht="46.5" customHeight="1" x14ac:dyDescent="0.2">
      <c r="A136" s="254">
        <v>2518</v>
      </c>
      <c r="B136" s="140" t="s">
        <v>222</v>
      </c>
      <c r="C136" s="113">
        <v>2779.2000000000003</v>
      </c>
      <c r="D136" s="306">
        <v>2790.0000000000005</v>
      </c>
      <c r="E136" s="306">
        <v>701.64</v>
      </c>
      <c r="F136" s="113">
        <v>704.16</v>
      </c>
      <c r="G136" s="114">
        <f t="shared" si="43"/>
        <v>2.5199999999999818</v>
      </c>
      <c r="H136" s="115">
        <f t="shared" si="44"/>
        <v>3.5915854284248074E-3</v>
      </c>
      <c r="I136" s="853"/>
      <c r="J136" s="306">
        <v>1395</v>
      </c>
      <c r="K136" s="113">
        <v>1407.24</v>
      </c>
      <c r="L136" s="114">
        <f t="shared" si="45"/>
        <v>12.240000000000009</v>
      </c>
      <c r="M136" s="115">
        <f t="shared" si="46"/>
        <v>8.7741935483871027E-3</v>
      </c>
      <c r="N136" s="853"/>
      <c r="O136" s="306">
        <v>2088.36</v>
      </c>
      <c r="P136" s="306">
        <v>2122.92</v>
      </c>
      <c r="Q136" s="114">
        <f t="shared" si="47"/>
        <v>34.559999999999945</v>
      </c>
      <c r="R136" s="115">
        <f t="shared" si="48"/>
        <v>1.6548870884330262E-2</v>
      </c>
      <c r="S136" s="853"/>
      <c r="T136" s="113">
        <v>2790.0000000000005</v>
      </c>
      <c r="U136" s="113">
        <v>2846.52</v>
      </c>
      <c r="V136" s="114">
        <f t="shared" si="49"/>
        <v>56.519999999999527</v>
      </c>
      <c r="W136" s="115">
        <f t="shared" si="50"/>
        <v>2.0258064516128861E-2</v>
      </c>
      <c r="X136" s="860"/>
    </row>
    <row r="137" spans="1:24" s="2" customFormat="1" ht="46.5" customHeight="1" x14ac:dyDescent="0.2">
      <c r="A137" s="243">
        <v>2519</v>
      </c>
      <c r="B137" s="133" t="s">
        <v>223</v>
      </c>
      <c r="C137" s="113">
        <v>0</v>
      </c>
      <c r="D137" s="306">
        <v>0</v>
      </c>
      <c r="E137" s="306">
        <v>0</v>
      </c>
      <c r="F137" s="113"/>
      <c r="G137" s="114">
        <f t="shared" si="43"/>
        <v>0</v>
      </c>
      <c r="H137" s="115" t="str">
        <f t="shared" si="44"/>
        <v>-</v>
      </c>
      <c r="I137" s="853"/>
      <c r="J137" s="306">
        <v>0</v>
      </c>
      <c r="K137" s="113"/>
      <c r="L137" s="114">
        <f t="shared" si="45"/>
        <v>0</v>
      </c>
      <c r="M137" s="115" t="str">
        <f t="shared" si="46"/>
        <v>-</v>
      </c>
      <c r="N137" s="853"/>
      <c r="O137" s="306">
        <v>0</v>
      </c>
      <c r="P137" s="306"/>
      <c r="Q137" s="114">
        <f t="shared" si="47"/>
        <v>0</v>
      </c>
      <c r="R137" s="115" t="str">
        <f t="shared" si="48"/>
        <v>-</v>
      </c>
      <c r="S137" s="853"/>
      <c r="T137" s="113">
        <v>0</v>
      </c>
      <c r="U137" s="113"/>
      <c r="V137" s="114">
        <f t="shared" si="49"/>
        <v>0</v>
      </c>
      <c r="W137" s="115" t="str">
        <f t="shared" si="50"/>
        <v>-</v>
      </c>
      <c r="X137" s="860"/>
    </row>
    <row r="138" spans="1:24" ht="46.5" customHeight="1" x14ac:dyDescent="0.2">
      <c r="A138" s="130">
        <v>2520</v>
      </c>
      <c r="B138" s="136" t="s">
        <v>224</v>
      </c>
      <c r="C138" s="120">
        <v>0</v>
      </c>
      <c r="D138" s="308">
        <v>0</v>
      </c>
      <c r="E138" s="308">
        <v>0</v>
      </c>
      <c r="F138" s="120"/>
      <c r="G138" s="121">
        <f t="shared" si="43"/>
        <v>0</v>
      </c>
      <c r="H138" s="122" t="str">
        <f t="shared" si="44"/>
        <v>-</v>
      </c>
      <c r="I138" s="141"/>
      <c r="J138" s="308">
        <v>0</v>
      </c>
      <c r="K138" s="120"/>
      <c r="L138" s="121">
        <f t="shared" si="45"/>
        <v>0</v>
      </c>
      <c r="M138" s="122" t="str">
        <f t="shared" si="46"/>
        <v>-</v>
      </c>
      <c r="N138" s="141"/>
      <c r="O138" s="308">
        <v>0</v>
      </c>
      <c r="P138" s="308"/>
      <c r="Q138" s="121">
        <f t="shared" si="47"/>
        <v>0</v>
      </c>
      <c r="R138" s="122" t="str">
        <f t="shared" si="48"/>
        <v>-</v>
      </c>
      <c r="S138" s="141"/>
      <c r="T138" s="120">
        <v>0</v>
      </c>
      <c r="U138" s="120"/>
      <c r="V138" s="121">
        <f t="shared" si="49"/>
        <v>0</v>
      </c>
      <c r="W138" s="122" t="str">
        <f t="shared" si="50"/>
        <v>-</v>
      </c>
      <c r="X138" s="779"/>
    </row>
    <row r="139" spans="1:24" ht="46.5" customHeight="1" x14ac:dyDescent="0.2">
      <c r="A139" s="99">
        <v>2800</v>
      </c>
      <c r="B139" s="150" t="s">
        <v>225</v>
      </c>
      <c r="C139" s="296">
        <v>0</v>
      </c>
      <c r="D139" s="313">
        <v>0</v>
      </c>
      <c r="E139" s="313">
        <v>0</v>
      </c>
      <c r="F139" s="296"/>
      <c r="G139" s="146"/>
      <c r="H139" s="147"/>
      <c r="I139" s="297"/>
      <c r="J139" s="313">
        <v>0</v>
      </c>
      <c r="K139" s="296"/>
      <c r="L139" s="146"/>
      <c r="M139" s="147"/>
      <c r="N139" s="297"/>
      <c r="O139" s="313">
        <v>0</v>
      </c>
      <c r="P139" s="313"/>
      <c r="Q139" s="146"/>
      <c r="R139" s="147"/>
      <c r="S139" s="297"/>
      <c r="T139" s="296">
        <v>0</v>
      </c>
      <c r="U139" s="296"/>
      <c r="V139" s="146"/>
      <c r="W139" s="147"/>
      <c r="X139" s="780"/>
    </row>
    <row r="140" spans="1:24" ht="46.5" customHeight="1" x14ac:dyDescent="0.2">
      <c r="A140" s="238">
        <v>4000</v>
      </c>
      <c r="B140" s="248" t="s">
        <v>226</v>
      </c>
      <c r="C140" s="239">
        <v>0</v>
      </c>
      <c r="D140" s="304">
        <v>0</v>
      </c>
      <c r="E140" s="304">
        <v>0</v>
      </c>
      <c r="F140" s="239">
        <f>F141+F142+F143</f>
        <v>0</v>
      </c>
      <c r="G140" s="240">
        <f t="shared" si="43"/>
        <v>0</v>
      </c>
      <c r="H140" s="241" t="str">
        <f t="shared" si="44"/>
        <v>-</v>
      </c>
      <c r="I140" s="242"/>
      <c r="J140" s="304">
        <v>0</v>
      </c>
      <c r="K140" s="239">
        <f>K141+K142+K143</f>
        <v>0</v>
      </c>
      <c r="L140" s="240">
        <f t="shared" si="45"/>
        <v>0</v>
      </c>
      <c r="M140" s="241" t="str">
        <f t="shared" si="46"/>
        <v>-</v>
      </c>
      <c r="N140" s="242"/>
      <c r="O140" s="304">
        <v>0</v>
      </c>
      <c r="P140" s="304">
        <f>P141+P142+P143</f>
        <v>0</v>
      </c>
      <c r="Q140" s="240">
        <f t="shared" si="47"/>
        <v>0</v>
      </c>
      <c r="R140" s="241" t="str">
        <f t="shared" si="48"/>
        <v>-</v>
      </c>
      <c r="S140" s="242"/>
      <c r="T140" s="239">
        <v>0</v>
      </c>
      <c r="U140" s="239">
        <f>U141+U142+U143</f>
        <v>0</v>
      </c>
      <c r="V140" s="240">
        <f t="shared" si="49"/>
        <v>0</v>
      </c>
      <c r="W140" s="241" t="str">
        <f t="shared" si="50"/>
        <v>-</v>
      </c>
      <c r="X140" s="770"/>
    </row>
    <row r="141" spans="1:24" s="246" customFormat="1" ht="46.5" customHeight="1" x14ac:dyDescent="0.2">
      <c r="A141" s="255">
        <v>4100</v>
      </c>
      <c r="B141" s="136" t="s">
        <v>227</v>
      </c>
      <c r="C141" s="237">
        <v>0</v>
      </c>
      <c r="D141" s="311">
        <v>0</v>
      </c>
      <c r="E141" s="311">
        <v>0</v>
      </c>
      <c r="F141" s="237"/>
      <c r="G141" s="121">
        <f t="shared" si="43"/>
        <v>0</v>
      </c>
      <c r="H141" s="122" t="str">
        <f t="shared" si="44"/>
        <v>-</v>
      </c>
      <c r="I141" s="256"/>
      <c r="J141" s="311">
        <v>0</v>
      </c>
      <c r="K141" s="237"/>
      <c r="L141" s="121"/>
      <c r="M141" s="122" t="str">
        <f t="shared" si="46"/>
        <v>-</v>
      </c>
      <c r="N141" s="256"/>
      <c r="O141" s="311">
        <v>0</v>
      </c>
      <c r="P141" s="311"/>
      <c r="Q141" s="121">
        <f t="shared" si="47"/>
        <v>0</v>
      </c>
      <c r="R141" s="122" t="str">
        <f t="shared" si="48"/>
        <v>-</v>
      </c>
      <c r="S141" s="256"/>
      <c r="T141" s="247">
        <v>0</v>
      </c>
      <c r="U141" s="247"/>
      <c r="V141" s="121">
        <f t="shared" si="49"/>
        <v>0</v>
      </c>
      <c r="W141" s="122" t="str">
        <f t="shared" si="50"/>
        <v>-</v>
      </c>
      <c r="X141" s="781"/>
    </row>
    <row r="142" spans="1:24" s="246" customFormat="1" ht="46.5" customHeight="1" x14ac:dyDescent="0.2">
      <c r="A142" s="255">
        <v>4200</v>
      </c>
      <c r="B142" s="139" t="s">
        <v>228</v>
      </c>
      <c r="C142" s="247">
        <v>0</v>
      </c>
      <c r="D142" s="311">
        <v>0</v>
      </c>
      <c r="E142" s="311">
        <v>0</v>
      </c>
      <c r="F142" s="237"/>
      <c r="G142" s="121">
        <f t="shared" si="43"/>
        <v>0</v>
      </c>
      <c r="H142" s="122" t="str">
        <f t="shared" si="44"/>
        <v>-</v>
      </c>
      <c r="I142" s="256"/>
      <c r="J142" s="311">
        <v>0</v>
      </c>
      <c r="K142" s="237"/>
      <c r="L142" s="121">
        <f t="shared" si="45"/>
        <v>0</v>
      </c>
      <c r="M142" s="122" t="str">
        <f t="shared" si="46"/>
        <v>-</v>
      </c>
      <c r="N142" s="256"/>
      <c r="O142" s="311">
        <v>0</v>
      </c>
      <c r="P142" s="311"/>
      <c r="Q142" s="121">
        <f t="shared" si="47"/>
        <v>0</v>
      </c>
      <c r="R142" s="122" t="str">
        <f t="shared" si="48"/>
        <v>-</v>
      </c>
      <c r="S142" s="256"/>
      <c r="T142" s="247">
        <v>0</v>
      </c>
      <c r="U142" s="247"/>
      <c r="V142" s="121">
        <f t="shared" si="49"/>
        <v>0</v>
      </c>
      <c r="W142" s="122" t="str">
        <f t="shared" si="50"/>
        <v>-</v>
      </c>
      <c r="X142" s="781"/>
    </row>
    <row r="143" spans="1:24" s="246" customFormat="1" ht="46.5" customHeight="1" x14ac:dyDescent="0.2">
      <c r="A143" s="130">
        <v>4300</v>
      </c>
      <c r="B143" s="136" t="s">
        <v>229</v>
      </c>
      <c r="C143" s="237">
        <v>0</v>
      </c>
      <c r="D143" s="311">
        <v>0</v>
      </c>
      <c r="E143" s="311">
        <v>0</v>
      </c>
      <c r="F143" s="237"/>
      <c r="G143" s="121">
        <f t="shared" si="43"/>
        <v>0</v>
      </c>
      <c r="H143" s="122" t="str">
        <f t="shared" si="44"/>
        <v>-</v>
      </c>
      <c r="I143" s="256"/>
      <c r="J143" s="311">
        <v>0</v>
      </c>
      <c r="K143" s="237"/>
      <c r="L143" s="121">
        <f t="shared" si="45"/>
        <v>0</v>
      </c>
      <c r="M143" s="122" t="str">
        <f t="shared" si="46"/>
        <v>-</v>
      </c>
      <c r="N143" s="256"/>
      <c r="O143" s="311">
        <v>0</v>
      </c>
      <c r="P143" s="311"/>
      <c r="Q143" s="121">
        <f t="shared" si="47"/>
        <v>0</v>
      </c>
      <c r="R143" s="122" t="str">
        <f t="shared" si="48"/>
        <v>-</v>
      </c>
      <c r="S143" s="256"/>
      <c r="T143" s="247">
        <v>0</v>
      </c>
      <c r="U143" s="247"/>
      <c r="V143" s="121">
        <f t="shared" si="49"/>
        <v>0</v>
      </c>
      <c r="W143" s="122" t="str">
        <f t="shared" si="50"/>
        <v>-</v>
      </c>
      <c r="X143" s="781"/>
    </row>
    <row r="144" spans="1:24" ht="46.5" customHeight="1" x14ac:dyDescent="0.2">
      <c r="A144" s="266" t="s">
        <v>230</v>
      </c>
      <c r="B144" s="267" t="s">
        <v>231</v>
      </c>
      <c r="C144" s="268">
        <v>29679351.249999996</v>
      </c>
      <c r="D144" s="303">
        <v>30192902.380000003</v>
      </c>
      <c r="E144" s="303">
        <v>7339111.5100000007</v>
      </c>
      <c r="F144" s="268">
        <f>F32</f>
        <v>7408860.790000001</v>
      </c>
      <c r="G144" s="269">
        <f t="shared" si="43"/>
        <v>69749.280000000261</v>
      </c>
      <c r="H144" s="270">
        <f t="shared" si="44"/>
        <v>9.503777113205391E-3</v>
      </c>
      <c r="I144" s="271"/>
      <c r="J144" s="303">
        <v>14817175.360000001</v>
      </c>
      <c r="K144" s="268">
        <f>K32</f>
        <v>15427185.880000003</v>
      </c>
      <c r="L144" s="269">
        <f t="shared" si="45"/>
        <v>610010.52000000142</v>
      </c>
      <c r="M144" s="270">
        <f t="shared" si="46"/>
        <v>4.1169150339326305E-2</v>
      </c>
      <c r="N144" s="271"/>
      <c r="O144" s="303">
        <v>22347764.710000001</v>
      </c>
      <c r="P144" s="303">
        <f>P32</f>
        <v>23249529.300000001</v>
      </c>
      <c r="Q144" s="269">
        <f t="shared" si="47"/>
        <v>901764.58999999985</v>
      </c>
      <c r="R144" s="270">
        <f t="shared" si="48"/>
        <v>4.0351444616583305E-2</v>
      </c>
      <c r="S144" s="271"/>
      <c r="T144" s="268">
        <v>30192902.380000003</v>
      </c>
      <c r="U144" s="268">
        <f>U32</f>
        <v>31542976.469999999</v>
      </c>
      <c r="V144" s="269">
        <f t="shared" si="49"/>
        <v>1350074.0899999961</v>
      </c>
      <c r="W144" s="270">
        <f t="shared" si="50"/>
        <v>4.4714948997228401E-2</v>
      </c>
      <c r="X144" s="769"/>
    </row>
    <row r="145" spans="1:24" ht="46.5" customHeight="1" x14ac:dyDescent="0.2">
      <c r="A145" s="266" t="s">
        <v>232</v>
      </c>
      <c r="B145" s="267" t="s">
        <v>233</v>
      </c>
      <c r="C145" s="268">
        <v>506093.54999999981</v>
      </c>
      <c r="D145" s="303">
        <v>-76108.860000004061</v>
      </c>
      <c r="E145" s="303">
        <v>442510.31999999937</v>
      </c>
      <c r="F145" s="268">
        <f>F3-F144</f>
        <v>111279.72999999858</v>
      </c>
      <c r="G145" s="269">
        <f t="shared" si="43"/>
        <v>-331230.59000000078</v>
      </c>
      <c r="H145" s="270">
        <f t="shared" si="44"/>
        <v>-0.74852624906013776</v>
      </c>
      <c r="I145" s="271"/>
      <c r="J145" s="303">
        <v>417294.82999999775</v>
      </c>
      <c r="K145" s="268">
        <f>K3-K144</f>
        <v>221091.09999999963</v>
      </c>
      <c r="L145" s="269">
        <f t="shared" si="45"/>
        <v>-196203.72999999812</v>
      </c>
      <c r="M145" s="270">
        <f t="shared" si="46"/>
        <v>-0.47018011222424966</v>
      </c>
      <c r="N145" s="271"/>
      <c r="O145" s="303">
        <v>332725.54999999655</v>
      </c>
      <c r="P145" s="303">
        <f>P3-P144</f>
        <v>629959.46999999508</v>
      </c>
      <c r="Q145" s="269">
        <f t="shared" si="47"/>
        <v>297233.91999999853</v>
      </c>
      <c r="R145" s="270">
        <f t="shared" si="48"/>
        <v>0.89333061437572681</v>
      </c>
      <c r="S145" s="271"/>
      <c r="T145" s="268">
        <v>-76108.860000004061</v>
      </c>
      <c r="U145" s="268">
        <f>U3-U144</f>
        <v>1884775.0799999982</v>
      </c>
      <c r="V145" s="269">
        <f t="shared" si="49"/>
        <v>1960883.9400000023</v>
      </c>
      <c r="W145" s="270">
        <f t="shared" si="50"/>
        <v>25.764200646283463</v>
      </c>
      <c r="X145" s="769"/>
    </row>
    <row r="146" spans="1:24" s="2" customFormat="1" ht="46.5" customHeight="1" x14ac:dyDescent="0.2">
      <c r="A146" s="157">
        <v>5000</v>
      </c>
      <c r="B146" s="149" t="s">
        <v>234</v>
      </c>
      <c r="C146" s="154">
        <v>976080.6399999999</v>
      </c>
      <c r="D146" s="314">
        <v>1019184.5599999998</v>
      </c>
      <c r="E146" s="314">
        <v>283853.12</v>
      </c>
      <c r="F146" s="154">
        <f>F147+F148</f>
        <v>302784.31</v>
      </c>
      <c r="G146" s="146">
        <f t="shared" si="43"/>
        <v>18931.190000000002</v>
      </c>
      <c r="H146" s="147">
        <f t="shared" si="44"/>
        <v>6.6693612527493104E-2</v>
      </c>
      <c r="I146" s="155"/>
      <c r="J146" s="314">
        <v>528336.19999999995</v>
      </c>
      <c r="K146" s="154">
        <f>K147+K148</f>
        <v>604764.91999999993</v>
      </c>
      <c r="L146" s="146">
        <f t="shared" si="45"/>
        <v>76428.719999999972</v>
      </c>
      <c r="M146" s="147">
        <f t="shared" si="46"/>
        <v>0.14465925295294924</v>
      </c>
      <c r="N146" s="155"/>
      <c r="O146" s="314">
        <v>773216.08</v>
      </c>
      <c r="P146" s="314">
        <f>P147+P148</f>
        <v>925508.6</v>
      </c>
      <c r="Q146" s="146">
        <f t="shared" si="47"/>
        <v>152292.52000000002</v>
      </c>
      <c r="R146" s="147">
        <f t="shared" si="48"/>
        <v>0.19695984594629748</v>
      </c>
      <c r="S146" s="155"/>
      <c r="T146" s="154">
        <v>1019184.5599999998</v>
      </c>
      <c r="U146" s="154">
        <f>U147+U148</f>
        <v>1331556.2999999998</v>
      </c>
      <c r="V146" s="146">
        <f t="shared" si="49"/>
        <v>312371.74</v>
      </c>
      <c r="W146" s="147">
        <f t="shared" si="50"/>
        <v>0.30649182911483669</v>
      </c>
      <c r="X146" s="774"/>
    </row>
    <row r="147" spans="1:24" ht="69.75" customHeight="1" x14ac:dyDescent="0.2">
      <c r="A147" s="14">
        <v>5100</v>
      </c>
      <c r="B147" s="119" t="s">
        <v>235</v>
      </c>
      <c r="C147" s="113">
        <v>31160.009999999995</v>
      </c>
      <c r="D147" s="306">
        <v>44122.55000000001</v>
      </c>
      <c r="E147" s="306">
        <v>20771.27</v>
      </c>
      <c r="F147" s="113">
        <v>27252.54</v>
      </c>
      <c r="G147" s="114">
        <f t="shared" si="43"/>
        <v>6481.27</v>
      </c>
      <c r="H147" s="115">
        <f t="shared" si="44"/>
        <v>0.31203051137460541</v>
      </c>
      <c r="I147" s="632" t="s">
        <v>236</v>
      </c>
      <c r="J147" s="306">
        <v>28580</v>
      </c>
      <c r="K147" s="113">
        <v>53748.83</v>
      </c>
      <c r="L147" s="114">
        <f t="shared" si="45"/>
        <v>25168.83</v>
      </c>
      <c r="M147" s="115">
        <f t="shared" si="46"/>
        <v>0.88064485654303715</v>
      </c>
      <c r="N147" s="630" t="s">
        <v>237</v>
      </c>
      <c r="O147" s="306">
        <v>36358.65</v>
      </c>
      <c r="P147" s="306">
        <v>78732.62</v>
      </c>
      <c r="Q147" s="114">
        <f t="shared" si="47"/>
        <v>42373.969999999994</v>
      </c>
      <c r="R147" s="115">
        <f t="shared" si="48"/>
        <v>1.1654439865066495</v>
      </c>
      <c r="S147" s="630" t="s">
        <v>238</v>
      </c>
      <c r="T147" s="113">
        <v>44122.55000000001</v>
      </c>
      <c r="U147" s="113">
        <v>103110.41</v>
      </c>
      <c r="V147" s="114">
        <f t="shared" si="49"/>
        <v>58987.859999999993</v>
      </c>
      <c r="W147" s="115">
        <f t="shared" si="50"/>
        <v>1.3369095847814776</v>
      </c>
      <c r="X147" s="767" t="s">
        <v>239</v>
      </c>
    </row>
    <row r="148" spans="1:24" s="246" customFormat="1" ht="46.5" customHeight="1" x14ac:dyDescent="0.2">
      <c r="A148" s="257">
        <v>5200</v>
      </c>
      <c r="B148" s="119" t="s">
        <v>240</v>
      </c>
      <c r="C148" s="247">
        <v>944920.63</v>
      </c>
      <c r="D148" s="311">
        <v>975062.01</v>
      </c>
      <c r="E148" s="311">
        <v>263081.84999999998</v>
      </c>
      <c r="F148" s="247">
        <v>275531.77</v>
      </c>
      <c r="G148" s="121">
        <f t="shared" si="43"/>
        <v>12449.920000000042</v>
      </c>
      <c r="H148" s="122">
        <f t="shared" si="44"/>
        <v>4.7323371034528008E-2</v>
      </c>
      <c r="I148" s="881"/>
      <c r="J148" s="311">
        <v>499756.19999999995</v>
      </c>
      <c r="K148" s="247">
        <v>551016.09</v>
      </c>
      <c r="L148" s="121">
        <f t="shared" si="45"/>
        <v>51259.890000000014</v>
      </c>
      <c r="M148" s="122">
        <f t="shared" si="46"/>
        <v>0.10256979303108199</v>
      </c>
      <c r="N148" s="881"/>
      <c r="O148" s="311">
        <v>736857.43</v>
      </c>
      <c r="P148" s="311">
        <v>846775.98</v>
      </c>
      <c r="Q148" s="121">
        <f t="shared" si="47"/>
        <v>109918.54999999993</v>
      </c>
      <c r="R148" s="122">
        <f t="shared" si="48"/>
        <v>0.14917207254054549</v>
      </c>
      <c r="S148" s="881"/>
      <c r="T148" s="247">
        <v>975062.01</v>
      </c>
      <c r="U148" s="247">
        <f>1228546.89-101</f>
        <v>1228445.8899999999</v>
      </c>
      <c r="V148" s="121">
        <f t="shared" si="49"/>
        <v>253383.87999999989</v>
      </c>
      <c r="W148" s="122">
        <f t="shared" si="50"/>
        <v>0.25986437518984035</v>
      </c>
      <c r="X148" s="854" t="s">
        <v>241</v>
      </c>
    </row>
    <row r="149" spans="1:24" ht="46.5" customHeight="1" x14ac:dyDescent="0.2">
      <c r="A149" s="258">
        <v>5210</v>
      </c>
      <c r="B149" s="58" t="s">
        <v>242</v>
      </c>
      <c r="C149" s="113">
        <v>0</v>
      </c>
      <c r="D149" s="306">
        <v>0</v>
      </c>
      <c r="E149" s="306">
        <v>0</v>
      </c>
      <c r="F149" s="113"/>
      <c r="G149" s="114">
        <f t="shared" si="43"/>
        <v>0</v>
      </c>
      <c r="H149" s="115" t="str">
        <f t="shared" si="44"/>
        <v>-</v>
      </c>
      <c r="I149" s="882"/>
      <c r="J149" s="306">
        <v>0</v>
      </c>
      <c r="K149" s="113"/>
      <c r="L149" s="114">
        <f t="shared" si="45"/>
        <v>0</v>
      </c>
      <c r="M149" s="115" t="str">
        <f t="shared" si="46"/>
        <v>-</v>
      </c>
      <c r="N149" s="882"/>
      <c r="O149" s="306">
        <v>0</v>
      </c>
      <c r="P149" s="306"/>
      <c r="Q149" s="114">
        <f t="shared" si="47"/>
        <v>0</v>
      </c>
      <c r="R149" s="115" t="str">
        <f t="shared" si="48"/>
        <v>-</v>
      </c>
      <c r="S149" s="882"/>
      <c r="T149" s="113">
        <v>0</v>
      </c>
      <c r="U149" s="113"/>
      <c r="V149" s="114">
        <f t="shared" si="49"/>
        <v>0</v>
      </c>
      <c r="W149" s="115" t="str">
        <f t="shared" si="50"/>
        <v>-</v>
      </c>
      <c r="X149" s="855"/>
    </row>
    <row r="150" spans="1:24" ht="46.5" customHeight="1" x14ac:dyDescent="0.2">
      <c r="A150" s="258">
        <v>5220</v>
      </c>
      <c r="B150" s="58" t="s">
        <v>243</v>
      </c>
      <c r="C150" s="113">
        <v>0</v>
      </c>
      <c r="D150" s="306">
        <v>0</v>
      </c>
      <c r="E150" s="306">
        <v>0</v>
      </c>
      <c r="F150" s="113"/>
      <c r="G150" s="114">
        <f t="shared" si="43"/>
        <v>0</v>
      </c>
      <c r="H150" s="115" t="str">
        <f t="shared" si="44"/>
        <v>-</v>
      </c>
      <c r="I150" s="882"/>
      <c r="J150" s="306">
        <v>0</v>
      </c>
      <c r="K150" s="113"/>
      <c r="L150" s="114">
        <f t="shared" si="45"/>
        <v>0</v>
      </c>
      <c r="M150" s="115" t="str">
        <f t="shared" si="46"/>
        <v>-</v>
      </c>
      <c r="N150" s="882"/>
      <c r="O150" s="306">
        <v>0</v>
      </c>
      <c r="P150" s="306"/>
      <c r="Q150" s="114">
        <f t="shared" si="47"/>
        <v>0</v>
      </c>
      <c r="R150" s="115" t="str">
        <f t="shared" si="48"/>
        <v>-</v>
      </c>
      <c r="S150" s="882"/>
      <c r="T150" s="113">
        <v>0</v>
      </c>
      <c r="U150" s="113"/>
      <c r="V150" s="114">
        <f t="shared" si="49"/>
        <v>0</v>
      </c>
      <c r="W150" s="115" t="str">
        <f t="shared" si="50"/>
        <v>-</v>
      </c>
      <c r="X150" s="855"/>
    </row>
    <row r="151" spans="1:24" ht="46.5" customHeight="1" x14ac:dyDescent="0.2">
      <c r="A151" s="258">
        <v>5230</v>
      </c>
      <c r="B151" s="58" t="s">
        <v>244</v>
      </c>
      <c r="C151" s="113">
        <v>0</v>
      </c>
      <c r="D151" s="306">
        <v>0</v>
      </c>
      <c r="E151" s="306">
        <v>0</v>
      </c>
      <c r="F151" s="113"/>
      <c r="G151" s="114">
        <f t="shared" si="43"/>
        <v>0</v>
      </c>
      <c r="H151" s="115" t="str">
        <f t="shared" si="44"/>
        <v>-</v>
      </c>
      <c r="I151" s="882"/>
      <c r="J151" s="306">
        <v>0</v>
      </c>
      <c r="K151" s="113"/>
      <c r="L151" s="114">
        <f t="shared" si="45"/>
        <v>0</v>
      </c>
      <c r="M151" s="115" t="str">
        <f t="shared" si="46"/>
        <v>-</v>
      </c>
      <c r="N151" s="882"/>
      <c r="O151" s="306">
        <v>0</v>
      </c>
      <c r="P151" s="306"/>
      <c r="Q151" s="114">
        <f t="shared" si="47"/>
        <v>0</v>
      </c>
      <c r="R151" s="115" t="str">
        <f t="shared" si="48"/>
        <v>-</v>
      </c>
      <c r="S151" s="882"/>
      <c r="T151" s="113">
        <v>0</v>
      </c>
      <c r="U151" s="113"/>
      <c r="V151" s="114">
        <f t="shared" si="49"/>
        <v>0</v>
      </c>
      <c r="W151" s="115" t="str">
        <f t="shared" si="50"/>
        <v>-</v>
      </c>
      <c r="X151" s="855"/>
    </row>
    <row r="152" spans="1:24" ht="46.5" customHeight="1" x14ac:dyDescent="0.2">
      <c r="A152" s="258">
        <v>5240</v>
      </c>
      <c r="B152" s="58" t="s">
        <v>245</v>
      </c>
      <c r="C152" s="113">
        <v>0</v>
      </c>
      <c r="D152" s="306">
        <v>0</v>
      </c>
      <c r="E152" s="306">
        <v>0</v>
      </c>
      <c r="F152" s="113"/>
      <c r="G152" s="114">
        <f t="shared" si="43"/>
        <v>0</v>
      </c>
      <c r="H152" s="115" t="str">
        <f t="shared" si="44"/>
        <v>-</v>
      </c>
      <c r="I152" s="883"/>
      <c r="J152" s="306">
        <v>0</v>
      </c>
      <c r="K152" s="113"/>
      <c r="L152" s="114">
        <f t="shared" si="45"/>
        <v>0</v>
      </c>
      <c r="M152" s="115" t="str">
        <f t="shared" si="46"/>
        <v>-</v>
      </c>
      <c r="N152" s="883"/>
      <c r="O152" s="306">
        <v>0</v>
      </c>
      <c r="P152" s="306"/>
      <c r="Q152" s="114">
        <f t="shared" si="47"/>
        <v>0</v>
      </c>
      <c r="R152" s="115" t="str">
        <f t="shared" si="48"/>
        <v>-</v>
      </c>
      <c r="S152" s="883"/>
      <c r="T152" s="113">
        <v>0</v>
      </c>
      <c r="U152" s="113"/>
      <c r="V152" s="114">
        <f t="shared" si="49"/>
        <v>0</v>
      </c>
      <c r="W152" s="115" t="str">
        <f t="shared" si="50"/>
        <v>-</v>
      </c>
      <c r="X152" s="856"/>
    </row>
    <row r="153" spans="1:24" ht="46.5" customHeight="1" x14ac:dyDescent="0.2">
      <c r="A153" s="266" t="s">
        <v>246</v>
      </c>
      <c r="B153" s="267" t="s">
        <v>247</v>
      </c>
      <c r="C153" s="268">
        <v>-469987.09000000014</v>
      </c>
      <c r="D153" s="303">
        <v>-1095293.4200000039</v>
      </c>
      <c r="E153" s="303">
        <v>158657.19999999937</v>
      </c>
      <c r="F153" s="268">
        <f>F145-F146</f>
        <v>-191504.58000000141</v>
      </c>
      <c r="G153" s="269">
        <f t="shared" si="43"/>
        <v>-350161.78000000078</v>
      </c>
      <c r="H153" s="345">
        <f t="shared" si="44"/>
        <v>-2.2070336549491745</v>
      </c>
      <c r="I153" s="271"/>
      <c r="J153" s="303">
        <v>-111041.37000000225</v>
      </c>
      <c r="K153" s="268">
        <f>K145-K146</f>
        <v>-383673.8200000003</v>
      </c>
      <c r="L153" s="269">
        <f t="shared" si="45"/>
        <v>-272632.44999999803</v>
      </c>
      <c r="M153" s="270">
        <f t="shared" si="46"/>
        <v>-2.4552331261762395</v>
      </c>
      <c r="N153" s="271"/>
      <c r="O153" s="303">
        <v>-440490.5300000034</v>
      </c>
      <c r="P153" s="303">
        <f>P145-P146</f>
        <v>-295549.13000000489</v>
      </c>
      <c r="Q153" s="269">
        <f t="shared" si="47"/>
        <v>144941.39999999851</v>
      </c>
      <c r="R153" s="270">
        <f t="shared" si="48"/>
        <v>0.32904543941046221</v>
      </c>
      <c r="S153" s="271"/>
      <c r="T153" s="268">
        <v>-1095293.4200000039</v>
      </c>
      <c r="U153" s="268">
        <f>U145-U146</f>
        <v>553218.7799999984</v>
      </c>
      <c r="V153" s="269">
        <f t="shared" si="49"/>
        <v>1648512.2000000023</v>
      </c>
      <c r="W153" s="270">
        <f t="shared" si="50"/>
        <v>1.5050872851952277</v>
      </c>
      <c r="X153" s="769"/>
    </row>
    <row r="154" spans="1:24" ht="46.5" customHeight="1" x14ac:dyDescent="0.2">
      <c r="A154" s="158" t="s">
        <v>248</v>
      </c>
      <c r="B154" s="149" t="s">
        <v>249</v>
      </c>
      <c r="C154" s="145">
        <f>66017.84-56</f>
        <v>65961.84</v>
      </c>
      <c r="D154" s="305">
        <v>65361.349999999991</v>
      </c>
      <c r="E154" s="305">
        <v>133.72999999999999</v>
      </c>
      <c r="F154" s="145">
        <f t="shared" ref="F154" si="51">SUM(F155:F162)</f>
        <v>7135.47</v>
      </c>
      <c r="G154" s="146">
        <f t="shared" si="43"/>
        <v>7001.7400000000007</v>
      </c>
      <c r="H154" s="346">
        <f t="shared" si="44"/>
        <v>52.357287070963892</v>
      </c>
      <c r="I154" s="875" t="s">
        <v>250</v>
      </c>
      <c r="J154" s="305">
        <v>299.92</v>
      </c>
      <c r="K154" s="145">
        <f t="shared" ref="K154" si="52">SUM(K155:K162)</f>
        <v>7118.59</v>
      </c>
      <c r="L154" s="146">
        <f t="shared" si="45"/>
        <v>6818.67</v>
      </c>
      <c r="M154" s="147">
        <f t="shared" si="46"/>
        <v>22.734962656708454</v>
      </c>
      <c r="N154" s="875" t="s">
        <v>251</v>
      </c>
      <c r="O154" s="305">
        <v>6395.7999999999993</v>
      </c>
      <c r="P154" s="305">
        <f t="shared" ref="P154" si="53">SUM(P155:P162)</f>
        <v>8163.61</v>
      </c>
      <c r="Q154" s="146">
        <f t="shared" si="47"/>
        <v>1767.8100000000004</v>
      </c>
      <c r="R154" s="147">
        <f t="shared" si="48"/>
        <v>0.2764017011163577</v>
      </c>
      <c r="S154" s="875" t="s">
        <v>252</v>
      </c>
      <c r="T154" s="145">
        <v>65361.349999999991</v>
      </c>
      <c r="U154" s="145">
        <f t="shared" ref="U154" si="54">SUM(U155:U162)</f>
        <v>75762.67</v>
      </c>
      <c r="V154" s="146">
        <f t="shared" si="49"/>
        <v>10401.320000000007</v>
      </c>
      <c r="W154" s="147">
        <f t="shared" si="50"/>
        <v>0.15913563596835145</v>
      </c>
      <c r="X154" s="854" t="s">
        <v>253</v>
      </c>
    </row>
    <row r="155" spans="1:24" ht="46.5" customHeight="1" x14ac:dyDescent="0.2">
      <c r="A155" s="142" t="s">
        <v>254</v>
      </c>
      <c r="B155" s="58" t="s">
        <v>255</v>
      </c>
      <c r="C155" s="113">
        <v>1551.41</v>
      </c>
      <c r="D155" s="306">
        <v>1657.8</v>
      </c>
      <c r="E155" s="306">
        <v>110.83</v>
      </c>
      <c r="F155" s="113">
        <v>109.35</v>
      </c>
      <c r="G155" s="114">
        <f t="shared" si="43"/>
        <v>-1.480000000000004</v>
      </c>
      <c r="H155" s="115">
        <f t="shared" si="44"/>
        <v>-1.335378507624293E-2</v>
      </c>
      <c r="I155" s="876"/>
      <c r="J155" s="307">
        <v>241.39</v>
      </c>
      <c r="K155" s="113">
        <v>109.99</v>
      </c>
      <c r="L155" s="134">
        <f t="shared" si="45"/>
        <v>-131.39999999999998</v>
      </c>
      <c r="M155" s="135">
        <f t="shared" si="46"/>
        <v>-0.54434732176146483</v>
      </c>
      <c r="N155" s="876"/>
      <c r="O155" s="306">
        <v>877.68000000000006</v>
      </c>
      <c r="P155" s="306">
        <v>110.47</v>
      </c>
      <c r="Q155" s="114">
        <f t="shared" si="47"/>
        <v>-767.21</v>
      </c>
      <c r="R155" s="115">
        <f t="shared" si="48"/>
        <v>-0.87413408075836296</v>
      </c>
      <c r="S155" s="876"/>
      <c r="T155" s="113">
        <v>1657.8</v>
      </c>
      <c r="U155" s="113">
        <v>110.95</v>
      </c>
      <c r="V155" s="114">
        <f t="shared" si="49"/>
        <v>-1546.85</v>
      </c>
      <c r="W155" s="115">
        <f t="shared" si="50"/>
        <v>-0.93307395343225963</v>
      </c>
      <c r="X155" s="855"/>
    </row>
    <row r="156" spans="1:24" ht="46.5" customHeight="1" x14ac:dyDescent="0.2">
      <c r="A156" s="142" t="s">
        <v>256</v>
      </c>
      <c r="B156" s="58" t="s">
        <v>257</v>
      </c>
      <c r="C156" s="113">
        <v>75.040000000000006</v>
      </c>
      <c r="D156" s="306">
        <v>69.290000000000006</v>
      </c>
      <c r="E156" s="306">
        <v>15.9</v>
      </c>
      <c r="F156" s="113">
        <v>8.92</v>
      </c>
      <c r="G156" s="114">
        <f t="shared" si="43"/>
        <v>-6.98</v>
      </c>
      <c r="H156" s="115">
        <f t="shared" si="44"/>
        <v>-0.43899371069182391</v>
      </c>
      <c r="I156" s="876"/>
      <c r="J156" s="306">
        <v>47.53</v>
      </c>
      <c r="K156" s="113">
        <v>21.4</v>
      </c>
      <c r="L156" s="114">
        <f t="shared" si="45"/>
        <v>-26.130000000000003</v>
      </c>
      <c r="M156" s="115">
        <f t="shared" si="46"/>
        <v>-0.54975804754891655</v>
      </c>
      <c r="N156" s="876"/>
      <c r="O156" s="307">
        <v>62.71</v>
      </c>
      <c r="P156" s="306">
        <v>34.47</v>
      </c>
      <c r="Q156" s="114">
        <f t="shared" si="47"/>
        <v>-28.240000000000002</v>
      </c>
      <c r="R156" s="115">
        <f t="shared" si="48"/>
        <v>-0.45032690161058847</v>
      </c>
      <c r="S156" s="876"/>
      <c r="T156" s="113">
        <v>69.290000000000006</v>
      </c>
      <c r="U156" s="113">
        <v>48.47</v>
      </c>
      <c r="V156" s="114">
        <f t="shared" si="49"/>
        <v>-20.820000000000007</v>
      </c>
      <c r="W156" s="115">
        <f t="shared" si="50"/>
        <v>-0.30047625920046189</v>
      </c>
      <c r="X156" s="855"/>
    </row>
    <row r="157" spans="1:24" ht="46.5" customHeight="1" x14ac:dyDescent="0.2">
      <c r="A157" s="142" t="s">
        <v>258</v>
      </c>
      <c r="B157" s="58" t="s">
        <v>259</v>
      </c>
      <c r="C157" s="113">
        <v>0</v>
      </c>
      <c r="D157" s="306">
        <v>0</v>
      </c>
      <c r="E157" s="306">
        <v>0</v>
      </c>
      <c r="F157" s="113"/>
      <c r="G157" s="114">
        <f t="shared" si="43"/>
        <v>0</v>
      </c>
      <c r="H157" s="115" t="str">
        <f t="shared" si="44"/>
        <v>-</v>
      </c>
      <c r="I157" s="876"/>
      <c r="J157" s="306">
        <v>0</v>
      </c>
      <c r="K157" s="113"/>
      <c r="L157" s="114">
        <f t="shared" si="45"/>
        <v>0</v>
      </c>
      <c r="M157" s="115" t="str">
        <f t="shared" si="46"/>
        <v>-</v>
      </c>
      <c r="N157" s="876"/>
      <c r="O157" s="306">
        <v>0</v>
      </c>
      <c r="P157" s="306"/>
      <c r="Q157" s="114">
        <f t="shared" si="47"/>
        <v>0</v>
      </c>
      <c r="R157" s="115" t="str">
        <f t="shared" si="48"/>
        <v>-</v>
      </c>
      <c r="S157" s="876"/>
      <c r="T157" s="113">
        <v>0</v>
      </c>
      <c r="U157" s="113"/>
      <c r="V157" s="114">
        <f t="shared" si="49"/>
        <v>0</v>
      </c>
      <c r="W157" s="115" t="str">
        <f t="shared" si="50"/>
        <v>-</v>
      </c>
      <c r="X157" s="855"/>
    </row>
    <row r="158" spans="1:24" ht="46.5" customHeight="1" x14ac:dyDescent="0.2">
      <c r="A158" s="142" t="s">
        <v>260</v>
      </c>
      <c r="B158" s="58" t="s">
        <v>261</v>
      </c>
      <c r="C158" s="113">
        <v>0</v>
      </c>
      <c r="D158" s="306">
        <v>0</v>
      </c>
      <c r="E158" s="306">
        <v>0</v>
      </c>
      <c r="F158" s="113"/>
      <c r="G158" s="114">
        <f t="shared" si="43"/>
        <v>0</v>
      </c>
      <c r="H158" s="115" t="str">
        <f t="shared" si="44"/>
        <v>-</v>
      </c>
      <c r="I158" s="876"/>
      <c r="J158" s="306">
        <v>0</v>
      </c>
      <c r="K158" s="113"/>
      <c r="L158" s="114">
        <f t="shared" si="45"/>
        <v>0</v>
      </c>
      <c r="M158" s="115" t="str">
        <f t="shared" si="46"/>
        <v>-</v>
      </c>
      <c r="N158" s="876"/>
      <c r="O158" s="306">
        <v>0</v>
      </c>
      <c r="P158" s="306"/>
      <c r="Q158" s="114">
        <f t="shared" si="47"/>
        <v>0</v>
      </c>
      <c r="R158" s="115" t="str">
        <f t="shared" si="48"/>
        <v>-</v>
      </c>
      <c r="S158" s="876"/>
      <c r="T158" s="113">
        <v>0</v>
      </c>
      <c r="U158" s="113"/>
      <c r="V158" s="114">
        <f t="shared" si="49"/>
        <v>0</v>
      </c>
      <c r="W158" s="115" t="str">
        <f t="shared" si="50"/>
        <v>-</v>
      </c>
      <c r="X158" s="855"/>
    </row>
    <row r="159" spans="1:24" ht="46.5" customHeight="1" x14ac:dyDescent="0.2">
      <c r="A159" s="142" t="s">
        <v>262</v>
      </c>
      <c r="B159" s="58" t="s">
        <v>263</v>
      </c>
      <c r="C159" s="113">
        <v>0</v>
      </c>
      <c r="D159" s="306">
        <v>0</v>
      </c>
      <c r="E159" s="306">
        <v>0</v>
      </c>
      <c r="F159" s="113"/>
      <c r="G159" s="114">
        <f t="shared" si="43"/>
        <v>0</v>
      </c>
      <c r="H159" s="115" t="str">
        <f t="shared" si="44"/>
        <v>-</v>
      </c>
      <c r="I159" s="876"/>
      <c r="J159" s="306">
        <v>0</v>
      </c>
      <c r="K159" s="113"/>
      <c r="L159" s="114">
        <f t="shared" si="45"/>
        <v>0</v>
      </c>
      <c r="M159" s="115" t="str">
        <f t="shared" si="46"/>
        <v>-</v>
      </c>
      <c r="N159" s="876"/>
      <c r="O159" s="306">
        <v>0</v>
      </c>
      <c r="P159" s="306"/>
      <c r="Q159" s="114">
        <f t="shared" si="47"/>
        <v>0</v>
      </c>
      <c r="R159" s="115" t="str">
        <f t="shared" si="48"/>
        <v>-</v>
      </c>
      <c r="S159" s="876"/>
      <c r="T159" s="113">
        <v>0</v>
      </c>
      <c r="U159" s="113"/>
      <c r="V159" s="114">
        <f t="shared" si="49"/>
        <v>0</v>
      </c>
      <c r="W159" s="115" t="str">
        <f t="shared" si="50"/>
        <v>-</v>
      </c>
      <c r="X159" s="855"/>
    </row>
    <row r="160" spans="1:24" ht="46.5" customHeight="1" x14ac:dyDescent="0.2">
      <c r="A160" s="142" t="s">
        <v>264</v>
      </c>
      <c r="B160" s="58" t="s">
        <v>265</v>
      </c>
      <c r="C160" s="113">
        <v>0</v>
      </c>
      <c r="D160" s="306">
        <v>0</v>
      </c>
      <c r="E160" s="306">
        <v>0</v>
      </c>
      <c r="F160" s="113"/>
      <c r="G160" s="114">
        <f t="shared" si="43"/>
        <v>0</v>
      </c>
      <c r="H160" s="115" t="str">
        <f t="shared" si="44"/>
        <v>-</v>
      </c>
      <c r="I160" s="876"/>
      <c r="J160" s="306">
        <v>0</v>
      </c>
      <c r="K160" s="113"/>
      <c r="L160" s="114">
        <f t="shared" si="45"/>
        <v>0</v>
      </c>
      <c r="M160" s="115" t="str">
        <f t="shared" si="46"/>
        <v>-</v>
      </c>
      <c r="N160" s="876"/>
      <c r="O160" s="306">
        <v>0</v>
      </c>
      <c r="P160" s="306"/>
      <c r="Q160" s="114">
        <f t="shared" si="47"/>
        <v>0</v>
      </c>
      <c r="R160" s="115" t="str">
        <f t="shared" si="48"/>
        <v>-</v>
      </c>
      <c r="S160" s="876"/>
      <c r="T160" s="113">
        <v>0</v>
      </c>
      <c r="U160" s="113"/>
      <c r="V160" s="114">
        <f t="shared" si="49"/>
        <v>0</v>
      </c>
      <c r="W160" s="115" t="str">
        <f t="shared" si="50"/>
        <v>-</v>
      </c>
      <c r="X160" s="855"/>
    </row>
    <row r="161" spans="1:24" ht="46.5" customHeight="1" x14ac:dyDescent="0.2">
      <c r="A161" s="142" t="s">
        <v>266</v>
      </c>
      <c r="B161" s="58" t="s">
        <v>267</v>
      </c>
      <c r="C161" s="113">
        <v>0</v>
      </c>
      <c r="D161" s="306">
        <v>0</v>
      </c>
      <c r="E161" s="306">
        <v>0</v>
      </c>
      <c r="F161" s="113"/>
      <c r="G161" s="114">
        <f t="shared" si="43"/>
        <v>0</v>
      </c>
      <c r="H161" s="115" t="str">
        <f t="shared" si="44"/>
        <v>-</v>
      </c>
      <c r="I161" s="876"/>
      <c r="J161" s="306">
        <v>0</v>
      </c>
      <c r="K161" s="113"/>
      <c r="L161" s="114">
        <f t="shared" si="45"/>
        <v>0</v>
      </c>
      <c r="M161" s="115" t="str">
        <f t="shared" si="46"/>
        <v>-</v>
      </c>
      <c r="N161" s="877"/>
      <c r="O161" s="306">
        <v>0</v>
      </c>
      <c r="P161" s="306"/>
      <c r="Q161" s="114">
        <f t="shared" si="47"/>
        <v>0</v>
      </c>
      <c r="R161" s="115" t="str">
        <f t="shared" si="48"/>
        <v>-</v>
      </c>
      <c r="S161" s="877"/>
      <c r="T161" s="113">
        <v>0</v>
      </c>
      <c r="U161" s="113"/>
      <c r="V161" s="114">
        <f t="shared" si="49"/>
        <v>0</v>
      </c>
      <c r="W161" s="115" t="str">
        <f t="shared" si="50"/>
        <v>-</v>
      </c>
      <c r="X161" s="856"/>
    </row>
    <row r="162" spans="1:24" ht="93" customHeight="1" x14ac:dyDescent="0.2">
      <c r="A162" s="142" t="s">
        <v>268</v>
      </c>
      <c r="B162" s="58" t="s">
        <v>42</v>
      </c>
      <c r="C162" s="113">
        <f>64391.39-56</f>
        <v>64335.39</v>
      </c>
      <c r="D162" s="306">
        <v>63634.26</v>
      </c>
      <c r="E162" s="306">
        <v>7</v>
      </c>
      <c r="F162" s="113">
        <f>2490+4527.2</f>
        <v>7017.2</v>
      </c>
      <c r="G162" s="134">
        <f t="shared" si="43"/>
        <v>7010.2</v>
      </c>
      <c r="H162" s="115">
        <f t="shared" si="44"/>
        <v>1001.4571428571428</v>
      </c>
      <c r="I162" s="630" t="s">
        <v>269</v>
      </c>
      <c r="J162" s="306">
        <v>11</v>
      </c>
      <c r="K162" s="113">
        <f>20+2440+4527.2</f>
        <v>6987.2</v>
      </c>
      <c r="L162" s="114">
        <f t="shared" si="45"/>
        <v>6976.2</v>
      </c>
      <c r="M162" s="115">
        <f t="shared" si="46"/>
        <v>634.19999999999993</v>
      </c>
      <c r="N162" s="630" t="s">
        <v>270</v>
      </c>
      <c r="O162" s="307">
        <v>5455.41</v>
      </c>
      <c r="P162" s="306">
        <f>4527.2+50+34.47+1001.47+2440-34.47</f>
        <v>8018.67</v>
      </c>
      <c r="Q162" s="114">
        <f t="shared" si="47"/>
        <v>2563.2600000000002</v>
      </c>
      <c r="R162" s="115">
        <f t="shared" si="48"/>
        <v>0.46985652774035319</v>
      </c>
      <c r="S162" s="630" t="s">
        <v>271</v>
      </c>
      <c r="T162" s="113">
        <v>63634.26</v>
      </c>
      <c r="U162" s="113">
        <f>58839.95+80+2550.27+4527.2+9605.83</f>
        <v>75603.25</v>
      </c>
      <c r="V162" s="114">
        <f t="shared" si="49"/>
        <v>11968.989999999998</v>
      </c>
      <c r="W162" s="115">
        <f t="shared" si="50"/>
        <v>0.18809034630087626</v>
      </c>
      <c r="X162" s="767" t="s">
        <v>272</v>
      </c>
    </row>
    <row r="163" spans="1:24" ht="46.5" customHeight="1" x14ac:dyDescent="0.2">
      <c r="A163" s="266" t="s">
        <v>273</v>
      </c>
      <c r="B163" s="267" t="s">
        <v>274</v>
      </c>
      <c r="C163" s="268">
        <f>30251462.64-56</f>
        <v>30251406.640000001</v>
      </c>
      <c r="D163" s="303">
        <v>30182154.869999997</v>
      </c>
      <c r="E163" s="303">
        <v>7781755.5600000005</v>
      </c>
      <c r="F163" s="268">
        <f>F3+F154</f>
        <v>7527275.9899999993</v>
      </c>
      <c r="G163" s="269">
        <f t="shared" si="43"/>
        <v>-254479.57000000123</v>
      </c>
      <c r="H163" s="662">
        <f t="shared" si="44"/>
        <v>-3.2702077061901598E-2</v>
      </c>
      <c r="I163" s="664" t="s">
        <v>275</v>
      </c>
      <c r="J163" s="663">
        <v>15234770.109999999</v>
      </c>
      <c r="K163" s="268">
        <f>K3+K154</f>
        <v>15655395.570000002</v>
      </c>
      <c r="L163" s="269">
        <f t="shared" si="45"/>
        <v>420625.46000000276</v>
      </c>
      <c r="M163" s="270">
        <f t="shared" si="46"/>
        <v>2.7609570539164689E-2</v>
      </c>
      <c r="N163" s="271"/>
      <c r="O163" s="303">
        <v>22686886.059999999</v>
      </c>
      <c r="P163" s="303">
        <f>P3+P154</f>
        <v>23887652.379999995</v>
      </c>
      <c r="Q163" s="269">
        <f t="shared" si="47"/>
        <v>1200766.3199999966</v>
      </c>
      <c r="R163" s="270">
        <f t="shared" si="48"/>
        <v>5.2927771436958357E-2</v>
      </c>
      <c r="S163" s="271"/>
      <c r="T163" s="268">
        <v>30182154.869999997</v>
      </c>
      <c r="U163" s="268">
        <f>U3+U154</f>
        <v>33503514.219999999</v>
      </c>
      <c r="V163" s="269">
        <f t="shared" si="49"/>
        <v>3321359.3500000015</v>
      </c>
      <c r="W163" s="270">
        <f t="shared" si="50"/>
        <v>0.11004381112964588</v>
      </c>
      <c r="X163" s="769"/>
    </row>
    <row r="164" spans="1:24" ht="46.5" customHeight="1" x14ac:dyDescent="0.2">
      <c r="A164" s="151">
        <v>8000</v>
      </c>
      <c r="B164" s="149" t="s">
        <v>276</v>
      </c>
      <c r="C164" s="145">
        <f>148959.95-56</f>
        <v>148903.95000000001</v>
      </c>
      <c r="D164" s="305">
        <v>150478.09999999998</v>
      </c>
      <c r="E164" s="305">
        <v>11988.44</v>
      </c>
      <c r="F164" s="145">
        <f>SUM(F165:F171)</f>
        <v>12844.789999999999</v>
      </c>
      <c r="G164" s="146">
        <f t="shared" si="43"/>
        <v>856.34999999999854</v>
      </c>
      <c r="H164" s="147">
        <f t="shared" si="44"/>
        <v>7.1431312164051242E-2</v>
      </c>
      <c r="I164" s="879"/>
      <c r="J164" s="305">
        <v>19781.140000000003</v>
      </c>
      <c r="K164" s="145">
        <f>SUM(K165:K171)</f>
        <v>22145.4</v>
      </c>
      <c r="L164" s="146">
        <f t="shared" si="45"/>
        <v>2364.2599999999984</v>
      </c>
      <c r="M164" s="147">
        <f t="shared" si="46"/>
        <v>0.11952091739909823</v>
      </c>
      <c r="N164" s="878"/>
      <c r="O164" s="305">
        <v>27605.170000000002</v>
      </c>
      <c r="P164" s="305">
        <f>SUM(P165:P171)</f>
        <v>32148.33</v>
      </c>
      <c r="Q164" s="146">
        <f t="shared" si="47"/>
        <v>4543.16</v>
      </c>
      <c r="R164" s="147">
        <f t="shared" si="48"/>
        <v>0.1645764181129839</v>
      </c>
      <c r="S164" s="872" t="s">
        <v>277</v>
      </c>
      <c r="T164" s="145">
        <v>150478.09999999998</v>
      </c>
      <c r="U164" s="145">
        <f>SUM(U165:U171)</f>
        <v>616377.23</v>
      </c>
      <c r="V164" s="146">
        <f t="shared" si="49"/>
        <v>465899.13</v>
      </c>
      <c r="W164" s="147">
        <f t="shared" si="50"/>
        <v>3.0961258149857027</v>
      </c>
      <c r="X164" s="854" t="s">
        <v>278</v>
      </c>
    </row>
    <row r="165" spans="1:24" ht="46.5" customHeight="1" x14ac:dyDescent="0.2">
      <c r="A165" s="73">
        <v>8100</v>
      </c>
      <c r="B165" s="58" t="s">
        <v>279</v>
      </c>
      <c r="C165" s="113">
        <v>0</v>
      </c>
      <c r="D165" s="306">
        <v>0</v>
      </c>
      <c r="E165" s="306">
        <v>0</v>
      </c>
      <c r="F165" s="113"/>
      <c r="G165" s="114">
        <f t="shared" si="43"/>
        <v>0</v>
      </c>
      <c r="H165" s="115" t="str">
        <f t="shared" si="44"/>
        <v>-</v>
      </c>
      <c r="I165" s="879"/>
      <c r="J165" s="306">
        <v>0</v>
      </c>
      <c r="K165" s="113"/>
      <c r="L165" s="134">
        <f t="shared" si="45"/>
        <v>0</v>
      </c>
      <c r="M165" s="135" t="str">
        <f t="shared" si="46"/>
        <v>-</v>
      </c>
      <c r="N165" s="879"/>
      <c r="O165" s="306">
        <v>0</v>
      </c>
      <c r="P165" s="306"/>
      <c r="Q165" s="114">
        <f t="shared" si="47"/>
        <v>0</v>
      </c>
      <c r="R165" s="115" t="str">
        <f t="shared" si="48"/>
        <v>-</v>
      </c>
      <c r="S165" s="873"/>
      <c r="T165" s="113">
        <v>0</v>
      </c>
      <c r="U165" s="113"/>
      <c r="V165" s="114">
        <f t="shared" si="49"/>
        <v>0</v>
      </c>
      <c r="W165" s="115" t="str">
        <f t="shared" si="50"/>
        <v>-</v>
      </c>
      <c r="X165" s="855"/>
    </row>
    <row r="166" spans="1:24" ht="46.5" customHeight="1" x14ac:dyDescent="0.2">
      <c r="A166" s="73">
        <v>8200</v>
      </c>
      <c r="B166" s="58" t="s">
        <v>280</v>
      </c>
      <c r="C166" s="113">
        <v>0</v>
      </c>
      <c r="D166" s="306">
        <v>0</v>
      </c>
      <c r="E166" s="306">
        <v>0</v>
      </c>
      <c r="F166" s="113"/>
      <c r="G166" s="114">
        <f t="shared" si="43"/>
        <v>0</v>
      </c>
      <c r="H166" s="115" t="str">
        <f t="shared" si="44"/>
        <v>-</v>
      </c>
      <c r="I166" s="879"/>
      <c r="J166" s="306">
        <v>0</v>
      </c>
      <c r="K166" s="113"/>
      <c r="L166" s="134">
        <f t="shared" si="45"/>
        <v>0</v>
      </c>
      <c r="M166" s="135" t="str">
        <f t="shared" si="46"/>
        <v>-</v>
      </c>
      <c r="N166" s="879"/>
      <c r="O166" s="306">
        <v>0</v>
      </c>
      <c r="P166" s="306"/>
      <c r="Q166" s="114">
        <f t="shared" si="47"/>
        <v>0</v>
      </c>
      <c r="R166" s="115" t="str">
        <f t="shared" si="48"/>
        <v>-</v>
      </c>
      <c r="S166" s="873"/>
      <c r="T166" s="113">
        <v>0</v>
      </c>
      <c r="U166" s="113"/>
      <c r="V166" s="114">
        <f t="shared" si="49"/>
        <v>0</v>
      </c>
      <c r="W166" s="115" t="str">
        <f t="shared" si="50"/>
        <v>-</v>
      </c>
      <c r="X166" s="855"/>
    </row>
    <row r="167" spans="1:24" ht="46.5" customHeight="1" x14ac:dyDescent="0.2">
      <c r="A167" s="73">
        <v>8300</v>
      </c>
      <c r="B167" s="58" t="s">
        <v>281</v>
      </c>
      <c r="C167" s="113">
        <v>5770.13</v>
      </c>
      <c r="D167" s="306">
        <v>5770.13</v>
      </c>
      <c r="E167" s="306">
        <v>0</v>
      </c>
      <c r="F167" s="117">
        <v>2133.7600000000002</v>
      </c>
      <c r="G167" s="134">
        <f t="shared" si="43"/>
        <v>2133.7600000000002</v>
      </c>
      <c r="H167" s="135" t="str">
        <f t="shared" si="44"/>
        <v>-</v>
      </c>
      <c r="I167" s="879"/>
      <c r="J167" s="306">
        <v>0</v>
      </c>
      <c r="K167" s="117">
        <v>3641.54</v>
      </c>
      <c r="L167" s="134">
        <f t="shared" si="45"/>
        <v>3641.54</v>
      </c>
      <c r="M167" s="135" t="str">
        <f t="shared" si="46"/>
        <v>-</v>
      </c>
      <c r="N167" s="879"/>
      <c r="O167" s="307">
        <v>471.63</v>
      </c>
      <c r="P167" s="307">
        <v>4281.24</v>
      </c>
      <c r="Q167" s="114">
        <f t="shared" si="47"/>
        <v>3809.6099999999997</v>
      </c>
      <c r="R167" s="115">
        <f t="shared" si="48"/>
        <v>8.0775395967177648</v>
      </c>
      <c r="S167" s="873"/>
      <c r="T167" s="117">
        <v>5770.13</v>
      </c>
      <c r="U167" s="117">
        <v>6903.36</v>
      </c>
      <c r="V167" s="114">
        <f t="shared" si="49"/>
        <v>1133.2299999999996</v>
      </c>
      <c r="W167" s="115">
        <f t="shared" si="50"/>
        <v>0.19639592175566228</v>
      </c>
      <c r="X167" s="855"/>
    </row>
    <row r="168" spans="1:24" ht="46.5" customHeight="1" x14ac:dyDescent="0.2">
      <c r="A168" s="73">
        <v>8600</v>
      </c>
      <c r="B168" s="58" t="s">
        <v>282</v>
      </c>
      <c r="C168" s="113">
        <v>30203.19</v>
      </c>
      <c r="D168" s="306">
        <v>30203.19</v>
      </c>
      <c r="E168" s="306">
        <v>0</v>
      </c>
      <c r="F168" s="113"/>
      <c r="G168" s="114">
        <f t="shared" si="43"/>
        <v>0</v>
      </c>
      <c r="H168" s="115" t="str">
        <f t="shared" si="44"/>
        <v>-</v>
      </c>
      <c r="I168" s="879"/>
      <c r="J168" s="306">
        <v>0</v>
      </c>
      <c r="K168" s="113"/>
      <c r="L168" s="134">
        <f t="shared" si="45"/>
        <v>0</v>
      </c>
      <c r="M168" s="135" t="str">
        <f t="shared" si="46"/>
        <v>-</v>
      </c>
      <c r="N168" s="879"/>
      <c r="O168" s="306">
        <v>0</v>
      </c>
      <c r="P168" s="306"/>
      <c r="Q168" s="114">
        <f t="shared" si="47"/>
        <v>0</v>
      </c>
      <c r="R168" s="115" t="str">
        <f t="shared" si="48"/>
        <v>-</v>
      </c>
      <c r="S168" s="873"/>
      <c r="T168" s="113">
        <v>30203.19</v>
      </c>
      <c r="U168" s="113">
        <v>563470.68000000005</v>
      </c>
      <c r="V168" s="114">
        <f t="shared" si="49"/>
        <v>533267.49000000011</v>
      </c>
      <c r="W168" s="115">
        <f t="shared" si="50"/>
        <v>17.655998919319455</v>
      </c>
      <c r="X168" s="855"/>
    </row>
    <row r="169" spans="1:24" ht="46.5" customHeight="1" x14ac:dyDescent="0.2">
      <c r="A169" s="73">
        <v>8700</v>
      </c>
      <c r="B169" s="58" t="s">
        <v>283</v>
      </c>
      <c r="C169" s="113">
        <v>74293</v>
      </c>
      <c r="D169" s="306">
        <v>74293</v>
      </c>
      <c r="E169" s="306">
        <v>0</v>
      </c>
      <c r="F169" s="113"/>
      <c r="G169" s="114">
        <f t="shared" si="43"/>
        <v>0</v>
      </c>
      <c r="H169" s="115" t="str">
        <f t="shared" si="44"/>
        <v>-</v>
      </c>
      <c r="I169" s="879"/>
      <c r="J169" s="306">
        <v>0</v>
      </c>
      <c r="K169" s="113"/>
      <c r="L169" s="134">
        <f t="shared" si="45"/>
        <v>0</v>
      </c>
      <c r="M169" s="135" t="str">
        <f t="shared" si="46"/>
        <v>-</v>
      </c>
      <c r="N169" s="879"/>
      <c r="O169" s="306">
        <v>0</v>
      </c>
      <c r="P169" s="306"/>
      <c r="Q169" s="114">
        <f t="shared" si="47"/>
        <v>0</v>
      </c>
      <c r="R169" s="115" t="str">
        <f t="shared" si="48"/>
        <v>-</v>
      </c>
      <c r="S169" s="873"/>
      <c r="T169" s="113">
        <v>74293</v>
      </c>
      <c r="U169" s="113">
        <v>9505.9699999999993</v>
      </c>
      <c r="V169" s="114">
        <f t="shared" si="49"/>
        <v>-64787.03</v>
      </c>
      <c r="W169" s="115">
        <f t="shared" si="50"/>
        <v>-0.87204756841155961</v>
      </c>
      <c r="X169" s="855"/>
    </row>
    <row r="170" spans="1:24" ht="46.5" customHeight="1" x14ac:dyDescent="0.2">
      <c r="A170" s="73">
        <v>8800</v>
      </c>
      <c r="B170" s="143" t="s">
        <v>284</v>
      </c>
      <c r="C170" s="113">
        <f>38693.63-56</f>
        <v>38637.629999999997</v>
      </c>
      <c r="D170" s="306">
        <v>40211.78</v>
      </c>
      <c r="E170" s="306">
        <v>11988.44</v>
      </c>
      <c r="F170" s="113">
        <f>0.01+0.02+327.25+400+483.75+1500+8000</f>
        <v>10711.029999999999</v>
      </c>
      <c r="G170" s="114">
        <f t="shared" si="43"/>
        <v>-1277.4100000000017</v>
      </c>
      <c r="H170" s="115">
        <f t="shared" si="44"/>
        <v>-0.10655347985225781</v>
      </c>
      <c r="I170" s="879"/>
      <c r="J170" s="306">
        <v>19781.140000000003</v>
      </c>
      <c r="K170" s="113">
        <f>-0.45+0.01+9.95+1000+1394.35+1500+14600</f>
        <v>18503.86</v>
      </c>
      <c r="L170" s="134">
        <f t="shared" si="45"/>
        <v>-1277.2800000000025</v>
      </c>
      <c r="M170" s="135">
        <f t="shared" si="46"/>
        <v>-6.457059603238248E-2</v>
      </c>
      <c r="N170" s="879"/>
      <c r="O170" s="307">
        <v>27133.54</v>
      </c>
      <c r="P170" s="306">
        <f>-0.45+0.01+65.8+483.75+1300+1500+2617.98+21900</f>
        <v>27867.09</v>
      </c>
      <c r="Q170" s="114">
        <f t="shared" si="47"/>
        <v>733.54999999999927</v>
      </c>
      <c r="R170" s="115">
        <f t="shared" si="48"/>
        <v>2.7034806368796672E-2</v>
      </c>
      <c r="S170" s="873"/>
      <c r="T170" s="117">
        <v>40211.78</v>
      </c>
      <c r="U170" s="113">
        <f>6.68+3518.25+0.01+1700-0.45+3175+2320+25200+93.98+483.75</f>
        <v>36497.220000000008</v>
      </c>
      <c r="V170" s="114">
        <f t="shared" si="49"/>
        <v>-3714.5599999999904</v>
      </c>
      <c r="W170" s="115">
        <f t="shared" si="50"/>
        <v>-9.2374920980866568E-2</v>
      </c>
      <c r="X170" s="855"/>
    </row>
    <row r="171" spans="1:24" ht="46.5" customHeight="1" x14ac:dyDescent="0.2">
      <c r="A171" s="33">
        <v>8900</v>
      </c>
      <c r="B171" s="144" t="s">
        <v>285</v>
      </c>
      <c r="C171" s="113">
        <v>0</v>
      </c>
      <c r="D171" s="306">
        <v>0</v>
      </c>
      <c r="E171" s="306">
        <v>0</v>
      </c>
      <c r="F171" s="113"/>
      <c r="G171" s="114">
        <f t="shared" si="43"/>
        <v>0</v>
      </c>
      <c r="H171" s="115" t="str">
        <f t="shared" si="44"/>
        <v>-</v>
      </c>
      <c r="I171" s="880"/>
      <c r="J171" s="306">
        <v>0</v>
      </c>
      <c r="K171" s="113"/>
      <c r="L171" s="134">
        <f t="shared" si="45"/>
        <v>0</v>
      </c>
      <c r="M171" s="135" t="str">
        <f t="shared" si="46"/>
        <v>-</v>
      </c>
      <c r="N171" s="880"/>
      <c r="O171" s="306">
        <v>0</v>
      </c>
      <c r="P171" s="306"/>
      <c r="Q171" s="114">
        <f t="shared" si="47"/>
        <v>0</v>
      </c>
      <c r="R171" s="115" t="str">
        <f t="shared" si="48"/>
        <v>-</v>
      </c>
      <c r="S171" s="874"/>
      <c r="T171" s="113">
        <v>0</v>
      </c>
      <c r="U171" s="113"/>
      <c r="V171" s="114">
        <f t="shared" si="49"/>
        <v>0</v>
      </c>
      <c r="W171" s="115" t="str">
        <f t="shared" si="50"/>
        <v>-</v>
      </c>
      <c r="X171" s="856"/>
    </row>
    <row r="172" spans="1:24" ht="46.5" customHeight="1" x14ac:dyDescent="0.2">
      <c r="A172" s="266" t="s">
        <v>286</v>
      </c>
      <c r="B172" s="267" t="s">
        <v>287</v>
      </c>
      <c r="C172" s="268">
        <f>30804391.84-56</f>
        <v>30804335.84</v>
      </c>
      <c r="D172" s="303">
        <v>31362565.040000003</v>
      </c>
      <c r="E172" s="303">
        <v>7634953.0700000012</v>
      </c>
      <c r="F172" s="268">
        <f>F144+F146+F164</f>
        <v>7724489.8900000006</v>
      </c>
      <c r="G172" s="269">
        <f t="shared" si="43"/>
        <v>89536.819999999367</v>
      </c>
      <c r="H172" s="270">
        <f t="shared" si="44"/>
        <v>1.1727225980185279E-2</v>
      </c>
      <c r="I172" s="271"/>
      <c r="J172" s="303">
        <v>15365292.700000003</v>
      </c>
      <c r="K172" s="268">
        <f>K144+K146+K164</f>
        <v>16054096.200000003</v>
      </c>
      <c r="L172" s="269">
        <f t="shared" si="45"/>
        <v>688803.5</v>
      </c>
      <c r="M172" s="270">
        <f t="shared" si="46"/>
        <v>4.4828530991798149E-2</v>
      </c>
      <c r="N172" s="271"/>
      <c r="O172" s="303">
        <v>23148585.960000001</v>
      </c>
      <c r="P172" s="303">
        <f>P144+P146+P164</f>
        <v>24207186.23</v>
      </c>
      <c r="Q172" s="269">
        <f t="shared" si="47"/>
        <v>1058600.2699999996</v>
      </c>
      <c r="R172" s="270">
        <f t="shared" si="48"/>
        <v>4.5730666738315086E-2</v>
      </c>
      <c r="S172" s="271"/>
      <c r="T172" s="268">
        <v>31362565.040000003</v>
      </c>
      <c r="U172" s="268">
        <f>U144+U146+U164</f>
        <v>33490910</v>
      </c>
      <c r="V172" s="269">
        <f t="shared" si="49"/>
        <v>2128344.9599999972</v>
      </c>
      <c r="W172" s="270">
        <f t="shared" si="50"/>
        <v>6.7862592147214143E-2</v>
      </c>
      <c r="X172" s="769"/>
    </row>
    <row r="173" spans="1:24" ht="46.5" customHeight="1" x14ac:dyDescent="0.2">
      <c r="A173" s="260" t="s">
        <v>288</v>
      </c>
      <c r="B173" s="261" t="s">
        <v>289</v>
      </c>
      <c r="C173" s="262">
        <v>-552929.20000000019</v>
      </c>
      <c r="D173" s="425">
        <v>-1180410.1700000041</v>
      </c>
      <c r="E173" s="426">
        <v>146802.48999999941</v>
      </c>
      <c r="F173" s="262">
        <f>F153+F154-F164</f>
        <v>-197213.90000000142</v>
      </c>
      <c r="G173" s="263">
        <f t="shared" si="43"/>
        <v>-344016.39000000083</v>
      </c>
      <c r="H173" s="264">
        <f t="shared" si="44"/>
        <v>-2.3433961508418708</v>
      </c>
      <c r="I173" s="265"/>
      <c r="J173" s="315">
        <v>-130522.59000000224</v>
      </c>
      <c r="K173" s="262">
        <f>K153+K154-K164</f>
        <v>-398700.6300000003</v>
      </c>
      <c r="L173" s="263">
        <f>K173-J173</f>
        <v>-268178.03999999806</v>
      </c>
      <c r="M173" s="264">
        <f t="shared" si="46"/>
        <v>-2.0546484711956259</v>
      </c>
      <c r="N173" s="265"/>
      <c r="O173" s="262">
        <v>-461699.9000000034</v>
      </c>
      <c r="P173" s="315">
        <f>P153+P154-P164</f>
        <v>-319533.85000000492</v>
      </c>
      <c r="Q173" s="263">
        <f t="shared" si="47"/>
        <v>142166.04999999847</v>
      </c>
      <c r="R173" s="264">
        <f t="shared" si="48"/>
        <v>0.30791873682449883</v>
      </c>
      <c r="S173" s="265"/>
      <c r="T173" s="262">
        <v>-1180410.1700000041</v>
      </c>
      <c r="U173" s="262">
        <f>U153+U154-U164</f>
        <v>12604.219999998459</v>
      </c>
      <c r="V173" s="263">
        <f t="shared" si="49"/>
        <v>1193014.3900000025</v>
      </c>
      <c r="W173" s="264">
        <f t="shared" si="50"/>
        <v>1.0106778307408164</v>
      </c>
      <c r="X173" s="782"/>
    </row>
    <row r="174" spans="1:24" ht="46.5" customHeight="1" x14ac:dyDescent="0.2">
      <c r="F174" s="385"/>
      <c r="J174" s="4" t="s">
        <v>75</v>
      </c>
    </row>
    <row r="175" spans="1:24" ht="46.5" customHeight="1" x14ac:dyDescent="0.2">
      <c r="A175" s="894" t="s">
        <v>290</v>
      </c>
      <c r="B175" s="894"/>
      <c r="C175" s="159"/>
      <c r="D175" s="160"/>
      <c r="E175" s="160"/>
      <c r="F175" s="160"/>
      <c r="G175" s="160"/>
      <c r="H175" s="160"/>
      <c r="I175" s="160"/>
    </row>
    <row r="176" spans="1:24" ht="57.75" customHeight="1" x14ac:dyDescent="0.2">
      <c r="A176" s="901" t="s">
        <v>291</v>
      </c>
      <c r="B176" s="901"/>
      <c r="C176" s="901"/>
      <c r="D176" s="901"/>
      <c r="E176" s="901"/>
      <c r="F176" s="153"/>
      <c r="G176" s="153"/>
      <c r="H176" s="153"/>
      <c r="I176" s="153"/>
      <c r="J176" s="1"/>
      <c r="K176" s="1"/>
      <c r="L176" s="1"/>
      <c r="M176" s="1"/>
      <c r="N176" s="1"/>
      <c r="O176" s="1"/>
      <c r="P176" s="1"/>
      <c r="Q176" s="1"/>
      <c r="R176" s="1"/>
      <c r="S176" s="1"/>
      <c r="T176" s="1"/>
      <c r="U176" s="1"/>
      <c r="V176" s="1"/>
      <c r="W176" s="1"/>
      <c r="X176" s="1"/>
    </row>
    <row r="177" spans="1:11" ht="46.5" customHeight="1" x14ac:dyDescent="0.2">
      <c r="A177" s="900" t="s">
        <v>292</v>
      </c>
      <c r="B177" s="900"/>
      <c r="C177" s="900"/>
      <c r="D177" s="900"/>
      <c r="E177" s="900"/>
      <c r="F177" s="160"/>
      <c r="G177" s="160"/>
      <c r="H177" s="160"/>
      <c r="I177" s="160"/>
    </row>
    <row r="178" spans="1:11" ht="58.5" customHeight="1" x14ac:dyDescent="0.2">
      <c r="A178" s="901" t="s">
        <v>293</v>
      </c>
      <c r="B178" s="901"/>
      <c r="C178" s="901"/>
      <c r="D178" s="901"/>
      <c r="E178" s="901"/>
      <c r="F178" s="160"/>
      <c r="G178" s="160"/>
      <c r="H178" s="160"/>
      <c r="I178" s="160"/>
    </row>
    <row r="179" spans="1:11" ht="46.5" customHeight="1" x14ac:dyDescent="0.2">
      <c r="A179" s="902" t="s">
        <v>294</v>
      </c>
      <c r="B179" s="902"/>
      <c r="C179" s="902"/>
      <c r="D179" s="902"/>
      <c r="E179" s="902"/>
      <c r="F179" s="160"/>
      <c r="G179" s="160"/>
      <c r="H179" s="160"/>
      <c r="I179" s="160"/>
    </row>
    <row r="180" spans="1:11" ht="46.5" customHeight="1" x14ac:dyDescent="0.2">
      <c r="A180" s="902" t="s">
        <v>295</v>
      </c>
      <c r="B180" s="902"/>
      <c r="C180" s="902"/>
      <c r="D180" s="902"/>
      <c r="E180" s="902"/>
      <c r="F180" s="262"/>
      <c r="G180" s="160"/>
      <c r="H180" s="160"/>
      <c r="I180" s="160"/>
      <c r="K180" s="4">
        <f>K160+K161-K171</f>
        <v>0</v>
      </c>
    </row>
  </sheetData>
  <sheetProtection formatColumns="0" formatRows="0"/>
  <mergeCells count="94">
    <mergeCell ref="A177:E177"/>
    <mergeCell ref="A178:E178"/>
    <mergeCell ref="A179:E179"/>
    <mergeCell ref="A180:E180"/>
    <mergeCell ref="A176:E176"/>
    <mergeCell ref="A175:B175"/>
    <mergeCell ref="I148:I152"/>
    <mergeCell ref="I154:I161"/>
    <mergeCell ref="I35:I38"/>
    <mergeCell ref="I5:I9"/>
    <mergeCell ref="I10:I12"/>
    <mergeCell ref="I13:I15"/>
    <mergeCell ref="I16:I18"/>
    <mergeCell ref="I19:I21"/>
    <mergeCell ref="I22:I26"/>
    <mergeCell ref="I39:I47"/>
    <mergeCell ref="I52:I57"/>
    <mergeCell ref="I68:I73"/>
    <mergeCell ref="I74:I81"/>
    <mergeCell ref="I82:I88"/>
    <mergeCell ref="I90:I95"/>
    <mergeCell ref="I96:I101"/>
    <mergeCell ref="I104:I108"/>
    <mergeCell ref="I109:I112"/>
    <mergeCell ref="I164:I171"/>
    <mergeCell ref="S19:S21"/>
    <mergeCell ref="S22:S26"/>
    <mergeCell ref="S35:S38"/>
    <mergeCell ref="S39:S47"/>
    <mergeCell ref="S52:S57"/>
    <mergeCell ref="I119:I125"/>
    <mergeCell ref="I130:I137"/>
    <mergeCell ref="I114:I117"/>
    <mergeCell ref="N22:N26"/>
    <mergeCell ref="N35:N38"/>
    <mergeCell ref="N39:N47"/>
    <mergeCell ref="N52:N57"/>
    <mergeCell ref="N104:N108"/>
    <mergeCell ref="N109:N112"/>
    <mergeCell ref="N90:N95"/>
    <mergeCell ref="S90:S95"/>
    <mergeCell ref="S96:S101"/>
    <mergeCell ref="S104:S108"/>
    <mergeCell ref="S109:S112"/>
    <mergeCell ref="S68:S73"/>
    <mergeCell ref="S74:S81"/>
    <mergeCell ref="N68:N73"/>
    <mergeCell ref="N74:N81"/>
    <mergeCell ref="S5:S9"/>
    <mergeCell ref="S10:S12"/>
    <mergeCell ref="S13:S15"/>
    <mergeCell ref="S16:S18"/>
    <mergeCell ref="N5:N9"/>
    <mergeCell ref="N10:N12"/>
    <mergeCell ref="N13:N15"/>
    <mergeCell ref="N16:N18"/>
    <mergeCell ref="N19:N21"/>
    <mergeCell ref="N154:N161"/>
    <mergeCell ref="N164:N171"/>
    <mergeCell ref="N148:N152"/>
    <mergeCell ref="X82:X88"/>
    <mergeCell ref="X90:X95"/>
    <mergeCell ref="X96:X101"/>
    <mergeCell ref="X104:X108"/>
    <mergeCell ref="X109:X112"/>
    <mergeCell ref="S148:S152"/>
    <mergeCell ref="S154:S161"/>
    <mergeCell ref="S164:S171"/>
    <mergeCell ref="X154:X161"/>
    <mergeCell ref="X164:X171"/>
    <mergeCell ref="S82:S88"/>
    <mergeCell ref="N130:N137"/>
    <mergeCell ref="N96:N101"/>
    <mergeCell ref="N114:N117"/>
    <mergeCell ref="N119:N125"/>
    <mergeCell ref="N82:N88"/>
    <mergeCell ref="X5:X9"/>
    <mergeCell ref="X10:X12"/>
    <mergeCell ref="X13:X15"/>
    <mergeCell ref="X16:X18"/>
    <mergeCell ref="X19:X21"/>
    <mergeCell ref="X22:X26"/>
    <mergeCell ref="X35:X38"/>
    <mergeCell ref="X39:X47"/>
    <mergeCell ref="X52:X57"/>
    <mergeCell ref="X68:X73"/>
    <mergeCell ref="X74:X81"/>
    <mergeCell ref="S119:S125"/>
    <mergeCell ref="S114:S117"/>
    <mergeCell ref="S130:S137"/>
    <mergeCell ref="X148:X152"/>
    <mergeCell ref="X114:X117"/>
    <mergeCell ref="X119:X125"/>
    <mergeCell ref="X130:X137"/>
  </mergeCells>
  <phoneticPr fontId="49" type="noConversion"/>
  <pageMargins left="0.25" right="0.25" top="0.75" bottom="0.75" header="0.3" footer="0.3"/>
  <pageSetup paperSize="9" scale="15" fitToHeight="0" orientation="portrait" r:id="rId1"/>
  <headerFooter>
    <oddHeader>&amp;C&amp;"Times New Roman,Bold"&amp;14Budžeta&amp;"Times New Roman,Regular" &amp;"Times New Roman,Bold"tāme&amp;R&amp;"Times New Roman,Regular"&amp;14 1.pielikums</oddHeader>
    <oddFooter>&amp;C&amp;"Times New Roman,Regular"&amp;12&amp;F&amp;R&amp;"Times New Roman,Regular"&amp;12&amp;P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A34"/>
  <sheetViews>
    <sheetView zoomScale="85" zoomScaleNormal="85" zoomScaleSheetLayoutView="100" zoomScalePageLayoutView="70" workbookViewId="0">
      <pane ySplit="1" topLeftCell="A2" activePane="bottomLeft" state="frozen"/>
      <selection pane="bottomLeft" activeCell="AA4" sqref="AA4"/>
    </sheetView>
  </sheetViews>
  <sheetFormatPr defaultColWidth="9.140625" defaultRowHeight="18" outlineLevelCol="1" x14ac:dyDescent="0.2"/>
  <cols>
    <col min="1" max="1" width="9.140625" style="5" customWidth="1"/>
    <col min="2" max="2" width="17.42578125" style="5" customWidth="1"/>
    <col min="3" max="4" width="17.42578125" style="5" hidden="1" customWidth="1"/>
    <col min="5" max="5" width="17.42578125" style="528" hidden="1" customWidth="1"/>
    <col min="6" max="8" width="17.42578125" style="5" hidden="1" customWidth="1"/>
    <col min="9" max="9" width="43.5703125" style="5" hidden="1" customWidth="1"/>
    <col min="10" max="10" width="17.42578125" style="5" hidden="1" customWidth="1"/>
    <col min="11" max="11" width="17.42578125" style="528" hidden="1" customWidth="1" outlineLevel="1"/>
    <col min="12" max="13" width="17.42578125" style="5" hidden="1" customWidth="1" outlineLevel="1"/>
    <col min="14" max="14" width="37" style="5" hidden="1" customWidth="1" outlineLevel="1"/>
    <col min="15" max="15" width="17.42578125" style="5" hidden="1" customWidth="1" collapsed="1"/>
    <col min="16" max="18" width="17.42578125" style="5" hidden="1" customWidth="1" outlineLevel="1"/>
    <col min="19" max="19" width="33.85546875" style="5" hidden="1" customWidth="1" outlineLevel="1"/>
    <col min="20" max="20" width="17.42578125" style="5" customWidth="1" collapsed="1"/>
    <col min="21" max="23" width="17.42578125" style="5" customWidth="1" outlineLevel="1"/>
    <col min="24" max="24" width="35.140625" style="5" customWidth="1" outlineLevel="1"/>
    <col min="25" max="40" width="17.42578125" style="5" customWidth="1"/>
    <col min="41" max="16384" width="9.140625" style="5"/>
  </cols>
  <sheetData>
    <row r="1" spans="1:27" ht="201" customHeight="1" x14ac:dyDescent="0.2">
      <c r="A1" s="316" t="s">
        <v>296</v>
      </c>
      <c r="B1" s="316" t="s">
        <v>297</v>
      </c>
      <c r="C1" s="317" t="s">
        <v>2</v>
      </c>
      <c r="D1" s="317" t="s">
        <v>3</v>
      </c>
      <c r="E1" s="522" t="s">
        <v>4</v>
      </c>
      <c r="F1" s="317" t="s">
        <v>5</v>
      </c>
      <c r="G1" s="318" t="s">
        <v>6</v>
      </c>
      <c r="H1" s="319" t="s">
        <v>7</v>
      </c>
      <c r="I1" s="317" t="s">
        <v>298</v>
      </c>
      <c r="J1" s="317" t="s">
        <v>9</v>
      </c>
      <c r="K1" s="522" t="s">
        <v>10</v>
      </c>
      <c r="L1" s="318" t="s">
        <v>6</v>
      </c>
      <c r="M1" s="319" t="s">
        <v>7</v>
      </c>
      <c r="N1" s="317" t="s">
        <v>298</v>
      </c>
      <c r="O1" s="317" t="s">
        <v>11</v>
      </c>
      <c r="P1" s="317" t="s">
        <v>12</v>
      </c>
      <c r="Q1" s="359" t="s">
        <v>6</v>
      </c>
      <c r="R1" s="360" t="s">
        <v>7</v>
      </c>
      <c r="S1" s="317" t="s">
        <v>298</v>
      </c>
      <c r="T1" s="317" t="s">
        <v>13</v>
      </c>
      <c r="U1" s="317" t="s">
        <v>14</v>
      </c>
      <c r="V1" s="318" t="s">
        <v>6</v>
      </c>
      <c r="W1" s="319" t="s">
        <v>7</v>
      </c>
      <c r="X1" s="317" t="s">
        <v>298</v>
      </c>
    </row>
    <row r="2" spans="1:27" x14ac:dyDescent="0.2">
      <c r="A2" s="316">
        <v>1</v>
      </c>
      <c r="B2" s="316">
        <v>2</v>
      </c>
      <c r="C2" s="317">
        <v>3</v>
      </c>
      <c r="D2" s="317">
        <v>4</v>
      </c>
      <c r="E2" s="522">
        <v>5</v>
      </c>
      <c r="F2" s="317">
        <v>11</v>
      </c>
      <c r="G2" s="318">
        <v>12</v>
      </c>
      <c r="H2" s="320">
        <v>13</v>
      </c>
      <c r="I2" s="317">
        <v>14</v>
      </c>
      <c r="J2" s="317">
        <v>10</v>
      </c>
      <c r="K2" s="522">
        <v>11</v>
      </c>
      <c r="L2" s="318">
        <v>12</v>
      </c>
      <c r="M2" s="320">
        <v>13</v>
      </c>
      <c r="N2" s="317">
        <v>14</v>
      </c>
      <c r="O2" s="317">
        <v>15</v>
      </c>
      <c r="P2" s="317">
        <v>16</v>
      </c>
      <c r="Q2" s="359">
        <v>17</v>
      </c>
      <c r="R2" s="361">
        <v>18</v>
      </c>
      <c r="S2" s="317">
        <v>19</v>
      </c>
      <c r="T2" s="317">
        <v>20</v>
      </c>
      <c r="U2" s="317">
        <v>21</v>
      </c>
      <c r="V2" s="318">
        <v>22</v>
      </c>
      <c r="W2" s="320">
        <v>23</v>
      </c>
      <c r="X2" s="317">
        <v>24</v>
      </c>
    </row>
    <row r="3" spans="1:27" ht="123.75" customHeight="1" x14ac:dyDescent="0.2">
      <c r="A3" s="316">
        <v>1</v>
      </c>
      <c r="B3" s="321" t="s">
        <v>299</v>
      </c>
      <c r="C3" s="322">
        <v>29551211</v>
      </c>
      <c r="D3" s="323">
        <v>29023115</v>
      </c>
      <c r="E3" s="520">
        <v>7482931</v>
      </c>
      <c r="F3" s="633">
        <v>7314927</v>
      </c>
      <c r="G3" s="325">
        <f>F3-E3</f>
        <v>-168004</v>
      </c>
      <c r="H3" s="331">
        <f t="shared" ref="H3:H9" si="0">IFERROR(G3/ABS(E3), "-")</f>
        <v>-2.2451630250232162E-2</v>
      </c>
      <c r="I3" s="634" t="s">
        <v>300</v>
      </c>
      <c r="J3" s="324">
        <v>14649716</v>
      </c>
      <c r="K3" s="726">
        <v>15146293</v>
      </c>
      <c r="L3" s="325">
        <f>K3-J3</f>
        <v>496577</v>
      </c>
      <c r="M3" s="331">
        <f t="shared" ref="M3:M4" si="1">IFERROR(L3/ABS(J3), "-")</f>
        <v>3.3896698065682636E-2</v>
      </c>
      <c r="N3" s="323"/>
      <c r="O3" s="324">
        <v>21815667</v>
      </c>
      <c r="P3" s="322">
        <v>23299646</v>
      </c>
      <c r="Q3" s="363">
        <f t="shared" ref="Q3:Q4" si="2">P3-O3</f>
        <v>1483979</v>
      </c>
      <c r="R3" s="364">
        <f t="shared" ref="R3:R4" si="3">IFERROR(Q3/ABS(O3), "-")</f>
        <v>6.8023544730491159E-2</v>
      </c>
      <c r="S3" s="328"/>
      <c r="T3" s="322">
        <v>29023115</v>
      </c>
      <c r="U3" s="322">
        <v>32222514</v>
      </c>
      <c r="V3" s="326">
        <f>U3-T3</f>
        <v>3199399</v>
      </c>
      <c r="W3" s="327">
        <f>IFERROR(V3/ABS(T3), "-")</f>
        <v>0.11023623756443786</v>
      </c>
      <c r="X3" s="328"/>
      <c r="Z3" s="468"/>
      <c r="AA3" s="519"/>
    </row>
    <row r="4" spans="1:27" ht="137.25" customHeight="1" x14ac:dyDescent="0.25">
      <c r="A4" s="316">
        <v>2</v>
      </c>
      <c r="B4" s="321" t="s">
        <v>301</v>
      </c>
      <c r="C4" s="322">
        <v>28109305</v>
      </c>
      <c r="D4" s="324">
        <v>29323998</v>
      </c>
      <c r="E4" s="520">
        <v>7138419</v>
      </c>
      <c r="F4" s="323">
        <v>7165548</v>
      </c>
      <c r="G4" s="325">
        <f t="shared" ref="G4" si="4">F4-E4</f>
        <v>27129</v>
      </c>
      <c r="H4" s="331">
        <f t="shared" si="0"/>
        <v>3.8004213538039727E-3</v>
      </c>
      <c r="I4" s="432"/>
      <c r="J4" s="324">
        <v>14366548</v>
      </c>
      <c r="K4" s="726">
        <f>14893317+110157+25727</f>
        <v>15029201</v>
      </c>
      <c r="L4" s="325">
        <f t="shared" ref="L4" si="5">K4-J4</f>
        <v>662653</v>
      </c>
      <c r="M4" s="331">
        <f t="shared" si="1"/>
        <v>4.612471973086367E-2</v>
      </c>
      <c r="N4" s="323"/>
      <c r="O4" s="324">
        <v>21643928</v>
      </c>
      <c r="P4" s="322">
        <v>22549099</v>
      </c>
      <c r="Q4" s="363">
        <f t="shared" si="2"/>
        <v>905171</v>
      </c>
      <c r="R4" s="364">
        <f t="shared" si="3"/>
        <v>4.1821013265244643E-2</v>
      </c>
      <c r="S4" s="328"/>
      <c r="T4" s="322">
        <v>29323998</v>
      </c>
      <c r="U4" s="322">
        <v>29942306</v>
      </c>
      <c r="V4" s="326">
        <f t="shared" ref="V4:V9" si="6">U4-T4</f>
        <v>618308</v>
      </c>
      <c r="W4" s="327">
        <f t="shared" ref="W4:W9" si="7">IFERROR(V4/ABS(T4), "-")</f>
        <v>2.1085392244263555E-2</v>
      </c>
      <c r="X4" s="328"/>
      <c r="Y4" s="377"/>
      <c r="Z4" s="468"/>
      <c r="AA4" s="518"/>
    </row>
    <row r="5" spans="1:27" ht="108.75" customHeight="1" x14ac:dyDescent="0.2">
      <c r="A5" s="535">
        <v>3</v>
      </c>
      <c r="B5" s="536" t="s">
        <v>302</v>
      </c>
      <c r="C5" s="529">
        <f>C3-C4</f>
        <v>1441906</v>
      </c>
      <c r="D5" s="529">
        <f t="shared" ref="D5:E5" si="8">D3-D4</f>
        <v>-300883</v>
      </c>
      <c r="E5" s="530">
        <f t="shared" si="8"/>
        <v>344512</v>
      </c>
      <c r="F5" s="529">
        <f>F3-F4</f>
        <v>149379</v>
      </c>
      <c r="G5" s="531">
        <f>F5-E5</f>
        <v>-195133</v>
      </c>
      <c r="H5" s="532">
        <f t="shared" si="0"/>
        <v>-0.56640407300761653</v>
      </c>
      <c r="I5" s="533"/>
      <c r="J5" s="529">
        <f t="shared" ref="J5" si="9">J3-J4</f>
        <v>283168</v>
      </c>
      <c r="K5" s="530">
        <f>K3-K4</f>
        <v>117092</v>
      </c>
      <c r="L5" s="531">
        <f>K5-J5</f>
        <v>-166076</v>
      </c>
      <c r="M5" s="532">
        <f t="shared" ref="M5:M9" si="10">IFERROR(L5/ABS(J5), "-")</f>
        <v>-0.58649282404791503</v>
      </c>
      <c r="N5" s="533"/>
      <c r="O5" s="529">
        <f>O3-O4</f>
        <v>171739</v>
      </c>
      <c r="P5" s="529">
        <f>P3-P4</f>
        <v>750547</v>
      </c>
      <c r="Q5" s="531">
        <f>P5-O5</f>
        <v>578808</v>
      </c>
      <c r="R5" s="532">
        <f>IFERROR(Q5/ABS(O5), "-")</f>
        <v>3.3702769900837901</v>
      </c>
      <c r="S5" s="534"/>
      <c r="T5" s="529">
        <f>T3-T4</f>
        <v>-300883</v>
      </c>
      <c r="U5" s="362">
        <f>U3-U4</f>
        <v>2280208</v>
      </c>
      <c r="V5" s="363">
        <f t="shared" si="6"/>
        <v>2581091</v>
      </c>
      <c r="W5" s="364">
        <f t="shared" si="7"/>
        <v>8.5783876124606575</v>
      </c>
      <c r="X5" s="365"/>
      <c r="Y5" s="377"/>
    </row>
    <row r="6" spans="1:27" ht="31.5" x14ac:dyDescent="0.2">
      <c r="A6" s="316">
        <v>4</v>
      </c>
      <c r="B6" s="321" t="s">
        <v>303</v>
      </c>
      <c r="C6" s="322"/>
      <c r="D6" s="322"/>
      <c r="E6" s="521"/>
      <c r="F6" s="322"/>
      <c r="G6" s="326">
        <f t="shared" ref="G6:G9" si="11">F6-E6</f>
        <v>0</v>
      </c>
      <c r="H6" s="327" t="str">
        <f t="shared" si="0"/>
        <v>-</v>
      </c>
      <c r="I6" s="328"/>
      <c r="J6" s="322"/>
      <c r="K6" s="521"/>
      <c r="L6" s="326">
        <f t="shared" ref="L6:L9" si="12">K6-J6</f>
        <v>0</v>
      </c>
      <c r="M6" s="327" t="str">
        <f t="shared" si="10"/>
        <v>-</v>
      </c>
      <c r="N6" s="328"/>
      <c r="O6" s="322"/>
      <c r="P6" s="322"/>
      <c r="Q6" s="326">
        <f>P6-O6</f>
        <v>0</v>
      </c>
      <c r="R6" s="327" t="str">
        <f>IFERROR(Q6/ABS(O6), "-")</f>
        <v>-</v>
      </c>
      <c r="S6" s="328"/>
      <c r="T6" s="322"/>
      <c r="U6" s="322"/>
      <c r="V6" s="326">
        <f t="shared" si="6"/>
        <v>0</v>
      </c>
      <c r="W6" s="327" t="str">
        <f t="shared" si="7"/>
        <v>-</v>
      </c>
      <c r="X6" s="328"/>
    </row>
    <row r="7" spans="1:27" ht="46.5" customHeight="1" x14ac:dyDescent="0.2">
      <c r="A7" s="316">
        <v>5</v>
      </c>
      <c r="B7" s="321" t="s">
        <v>304</v>
      </c>
      <c r="C7" s="322">
        <v>1580892</v>
      </c>
      <c r="D7" s="322">
        <v>1527357</v>
      </c>
      <c r="E7" s="521">
        <v>372067</v>
      </c>
      <c r="F7" s="322">
        <v>395814</v>
      </c>
      <c r="G7" s="326">
        <f t="shared" si="11"/>
        <v>23747</v>
      </c>
      <c r="H7" s="331">
        <f t="shared" si="0"/>
        <v>6.3824526227803061E-2</v>
      </c>
      <c r="I7" s="328"/>
      <c r="J7" s="322">
        <v>748291</v>
      </c>
      <c r="K7" s="521">
        <f>810946-110157-25727</f>
        <v>675062</v>
      </c>
      <c r="L7" s="326">
        <f t="shared" si="12"/>
        <v>-73229</v>
      </c>
      <c r="M7" s="331">
        <f t="shared" si="10"/>
        <v>-9.7861660771010203E-2</v>
      </c>
      <c r="N7" s="328"/>
      <c r="O7" s="322">
        <v>1127336</v>
      </c>
      <c r="P7" s="322">
        <v>1148951</v>
      </c>
      <c r="Q7" s="326">
        <f t="shared" ref="Q7:Q14" si="13">P7-O7</f>
        <v>21615</v>
      </c>
      <c r="R7" s="327">
        <f t="shared" ref="R7:R14" si="14">IFERROR(Q7/ABS(O7), "-")</f>
        <v>1.9173520583038242E-2</v>
      </c>
      <c r="S7" s="424"/>
      <c r="T7" s="322">
        <v>1527357</v>
      </c>
      <c r="U7" s="322">
        <v>1585675</v>
      </c>
      <c r="V7" s="326">
        <f t="shared" si="6"/>
        <v>58318</v>
      </c>
      <c r="W7" s="327">
        <f t="shared" si="7"/>
        <v>3.8182297917251827E-2</v>
      </c>
      <c r="X7" s="347"/>
    </row>
    <row r="8" spans="1:27" ht="110.25" customHeight="1" x14ac:dyDescent="0.2">
      <c r="A8" s="316">
        <v>6</v>
      </c>
      <c r="B8" s="321" t="s">
        <v>305</v>
      </c>
      <c r="C8" s="322">
        <v>698568</v>
      </c>
      <c r="D8" s="322">
        <v>1158995</v>
      </c>
      <c r="E8" s="521">
        <v>298788</v>
      </c>
      <c r="F8" s="322">
        <v>212231</v>
      </c>
      <c r="G8" s="326">
        <f t="shared" si="11"/>
        <v>-86557</v>
      </c>
      <c r="H8" s="331">
        <f t="shared" si="0"/>
        <v>-0.2896936958646264</v>
      </c>
      <c r="I8" s="634" t="s">
        <v>306</v>
      </c>
      <c r="J8" s="322">
        <v>585015</v>
      </c>
      <c r="K8" s="521">
        <v>508971</v>
      </c>
      <c r="L8" s="326">
        <f t="shared" si="12"/>
        <v>-76044</v>
      </c>
      <c r="M8" s="331">
        <f t="shared" si="10"/>
        <v>-0.12998641060485627</v>
      </c>
      <c r="N8" s="424"/>
      <c r="O8" s="322">
        <v>871176</v>
      </c>
      <c r="P8" s="322">
        <v>587861</v>
      </c>
      <c r="Q8" s="326">
        <f t="shared" si="13"/>
        <v>-283315</v>
      </c>
      <c r="R8" s="327">
        <f t="shared" si="14"/>
        <v>-0.32520983130848419</v>
      </c>
      <c r="S8" s="751" t="s">
        <v>307</v>
      </c>
      <c r="T8" s="322">
        <v>1158995</v>
      </c>
      <c r="U8" s="322">
        <v>1280841</v>
      </c>
      <c r="V8" s="326">
        <f t="shared" si="6"/>
        <v>121846</v>
      </c>
      <c r="W8" s="327">
        <f t="shared" si="7"/>
        <v>0.10513073826893127</v>
      </c>
      <c r="X8" s="328"/>
    </row>
    <row r="9" spans="1:27" ht="281.25" customHeight="1" x14ac:dyDescent="0.2">
      <c r="A9" s="316">
        <v>7</v>
      </c>
      <c r="B9" s="321" t="s">
        <v>308</v>
      </c>
      <c r="C9" s="322">
        <v>1114139</v>
      </c>
      <c r="D9" s="322">
        <v>511210</v>
      </c>
      <c r="E9" s="521">
        <v>124467</v>
      </c>
      <c r="F9" s="322">
        <v>163128</v>
      </c>
      <c r="G9" s="326">
        <f t="shared" si="11"/>
        <v>38661</v>
      </c>
      <c r="H9" s="331">
        <f t="shared" si="0"/>
        <v>0.31061245149316685</v>
      </c>
      <c r="I9" s="634" t="s">
        <v>309</v>
      </c>
      <c r="J9" s="322">
        <v>250454</v>
      </c>
      <c r="K9" s="521">
        <v>349833</v>
      </c>
      <c r="L9" s="326">
        <f t="shared" si="12"/>
        <v>99379</v>
      </c>
      <c r="M9" s="331">
        <f t="shared" si="10"/>
        <v>0.39679541951815506</v>
      </c>
      <c r="N9" s="634" t="s">
        <v>310</v>
      </c>
      <c r="O9" s="322">
        <v>377322</v>
      </c>
      <c r="P9" s="322">
        <f>509071+65</f>
        <v>509136</v>
      </c>
      <c r="Q9" s="326">
        <f t="shared" si="13"/>
        <v>131814</v>
      </c>
      <c r="R9" s="327">
        <f t="shared" si="14"/>
        <v>0.34934088126321816</v>
      </c>
      <c r="S9" s="634" t="s">
        <v>311</v>
      </c>
      <c r="T9" s="322">
        <v>511210</v>
      </c>
      <c r="U9" s="322">
        <v>1962930</v>
      </c>
      <c r="V9" s="326">
        <f t="shared" si="6"/>
        <v>1451720</v>
      </c>
      <c r="W9" s="327">
        <f t="shared" si="7"/>
        <v>2.8397723049236125</v>
      </c>
      <c r="X9" s="634" t="s">
        <v>312</v>
      </c>
    </row>
    <row r="10" spans="1:27" ht="66.75" customHeight="1" x14ac:dyDescent="0.2">
      <c r="A10" s="316">
        <v>8</v>
      </c>
      <c r="B10" s="321" t="s">
        <v>313</v>
      </c>
      <c r="C10" s="322"/>
      <c r="D10" s="322"/>
      <c r="E10" s="521"/>
      <c r="F10" s="322"/>
      <c r="G10" s="326">
        <f>F10-E10</f>
        <v>0</v>
      </c>
      <c r="H10" s="327" t="str">
        <f>IFERROR(G10/ABS(E10), "-")</f>
        <v>-</v>
      </c>
      <c r="I10" s="328"/>
      <c r="J10" s="322"/>
      <c r="K10" s="521"/>
      <c r="L10" s="326">
        <f>K10-J10</f>
        <v>0</v>
      </c>
      <c r="M10" s="327" t="str">
        <f>IFERROR(L10/ABS(J10), "-")</f>
        <v>-</v>
      </c>
      <c r="N10" s="424" t="s">
        <v>314</v>
      </c>
      <c r="O10" s="322"/>
      <c r="P10" s="322"/>
      <c r="Q10" s="326">
        <f t="shared" si="13"/>
        <v>0</v>
      </c>
      <c r="R10" s="327" t="str">
        <f t="shared" si="14"/>
        <v>-</v>
      </c>
      <c r="S10" s="328"/>
      <c r="T10" s="322"/>
      <c r="U10" s="322"/>
      <c r="V10" s="326">
        <f>U10-T10</f>
        <v>0</v>
      </c>
      <c r="W10" s="327" t="str">
        <f>IFERROR(V10/ABS(T10), "-")</f>
        <v>-</v>
      </c>
      <c r="X10" s="328"/>
    </row>
    <row r="11" spans="1:27" ht="125.25" customHeight="1" x14ac:dyDescent="0.2">
      <c r="A11" s="316">
        <v>9</v>
      </c>
      <c r="B11" s="321" t="s">
        <v>315</v>
      </c>
      <c r="C11" s="322"/>
      <c r="D11" s="322"/>
      <c r="E11" s="521"/>
      <c r="F11" s="322"/>
      <c r="G11" s="326">
        <f t="shared" ref="G11:G19" si="15">F11-E11</f>
        <v>0</v>
      </c>
      <c r="H11" s="327" t="str">
        <f t="shared" ref="H11:H20" si="16">IFERROR(G11/ABS(E11), "-")</f>
        <v>-</v>
      </c>
      <c r="I11" s="328"/>
      <c r="J11" s="322"/>
      <c r="K11" s="521"/>
      <c r="L11" s="326">
        <f t="shared" ref="L11:L19" si="17">K11-J11</f>
        <v>0</v>
      </c>
      <c r="M11" s="327" t="str">
        <f t="shared" ref="M11:M20" si="18">IFERROR(L11/ABS(J11), "-")</f>
        <v>-</v>
      </c>
      <c r="N11" s="328"/>
      <c r="O11" s="322"/>
      <c r="P11" s="322"/>
      <c r="Q11" s="326">
        <f t="shared" si="13"/>
        <v>0</v>
      </c>
      <c r="R11" s="327" t="str">
        <f t="shared" si="14"/>
        <v>-</v>
      </c>
      <c r="S11" s="328"/>
      <c r="T11" s="322"/>
      <c r="U11" s="322"/>
      <c r="V11" s="326">
        <f t="shared" ref="V11:V20" si="19">U11-T11</f>
        <v>0</v>
      </c>
      <c r="W11" s="327" t="str">
        <f t="shared" ref="W11:W19" si="20">IFERROR(V11/ABS(T11), "-")</f>
        <v>-</v>
      </c>
      <c r="X11" s="328"/>
    </row>
    <row r="12" spans="1:27" ht="154.5" customHeight="1" x14ac:dyDescent="0.2">
      <c r="A12" s="316">
        <v>10</v>
      </c>
      <c r="B12" s="321" t="s">
        <v>316</v>
      </c>
      <c r="C12" s="322">
        <v>1628</v>
      </c>
      <c r="D12" s="322">
        <v>45</v>
      </c>
      <c r="E12" s="521">
        <v>36</v>
      </c>
      <c r="F12" s="322">
        <v>118</v>
      </c>
      <c r="G12" s="326">
        <f t="shared" si="15"/>
        <v>82</v>
      </c>
      <c r="H12" s="331">
        <f t="shared" si="16"/>
        <v>2.2777777777777777</v>
      </c>
      <c r="I12" s="635" t="s">
        <v>317</v>
      </c>
      <c r="J12" s="322">
        <v>39</v>
      </c>
      <c r="K12" s="521">
        <v>131</v>
      </c>
      <c r="L12" s="326">
        <f t="shared" si="17"/>
        <v>92</v>
      </c>
      <c r="M12" s="331">
        <f t="shared" si="18"/>
        <v>2.358974358974359</v>
      </c>
      <c r="N12" s="635" t="s">
        <v>318</v>
      </c>
      <c r="O12" s="322">
        <v>43</v>
      </c>
      <c r="P12" s="322">
        <v>145</v>
      </c>
      <c r="Q12" s="326">
        <f t="shared" si="13"/>
        <v>102</v>
      </c>
      <c r="R12" s="327">
        <f t="shared" si="14"/>
        <v>2.3720930232558142</v>
      </c>
      <c r="S12" s="635" t="s">
        <v>319</v>
      </c>
      <c r="T12" s="322">
        <v>45</v>
      </c>
      <c r="U12" s="322">
        <v>160</v>
      </c>
      <c r="V12" s="326">
        <f t="shared" si="19"/>
        <v>115</v>
      </c>
      <c r="W12" s="327">
        <f t="shared" si="20"/>
        <v>2.5555555555555554</v>
      </c>
      <c r="X12" s="635" t="s">
        <v>320</v>
      </c>
    </row>
    <row r="13" spans="1:27" ht="122.25" customHeight="1" x14ac:dyDescent="0.2">
      <c r="A13" s="316">
        <v>11</v>
      </c>
      <c r="B13" s="321" t="s">
        <v>321</v>
      </c>
      <c r="C13" s="322"/>
      <c r="D13" s="322"/>
      <c r="E13" s="521"/>
      <c r="F13" s="322"/>
      <c r="G13" s="326">
        <f t="shared" si="15"/>
        <v>0</v>
      </c>
      <c r="H13" s="327" t="str">
        <f t="shared" si="16"/>
        <v>-</v>
      </c>
      <c r="I13" s="328"/>
      <c r="J13" s="322"/>
      <c r="K13" s="521"/>
      <c r="L13" s="326">
        <f t="shared" si="17"/>
        <v>0</v>
      </c>
      <c r="M13" s="327" t="str">
        <f t="shared" si="18"/>
        <v>-</v>
      </c>
      <c r="N13" s="328"/>
      <c r="O13" s="322"/>
      <c r="P13" s="322"/>
      <c r="Q13" s="326">
        <f t="shared" si="13"/>
        <v>0</v>
      </c>
      <c r="R13" s="327" t="str">
        <f t="shared" si="14"/>
        <v>-</v>
      </c>
      <c r="S13" s="328"/>
      <c r="T13" s="322"/>
      <c r="U13" s="322"/>
      <c r="V13" s="326">
        <f t="shared" si="19"/>
        <v>0</v>
      </c>
      <c r="W13" s="327" t="str">
        <f t="shared" si="20"/>
        <v>-</v>
      </c>
      <c r="X13" s="328"/>
    </row>
    <row r="14" spans="1:27" ht="98.25" customHeight="1" x14ac:dyDescent="0.2">
      <c r="A14" s="316">
        <v>12</v>
      </c>
      <c r="B14" s="321" t="s">
        <v>322</v>
      </c>
      <c r="C14" s="322"/>
      <c r="D14" s="322"/>
      <c r="E14" s="521"/>
      <c r="F14" s="322"/>
      <c r="G14" s="326">
        <f t="shared" si="15"/>
        <v>0</v>
      </c>
      <c r="H14" s="327" t="str">
        <f t="shared" si="16"/>
        <v>-</v>
      </c>
      <c r="I14" s="328"/>
      <c r="J14" s="322"/>
      <c r="K14" s="521"/>
      <c r="L14" s="326">
        <f t="shared" si="17"/>
        <v>0</v>
      </c>
      <c r="M14" s="327" t="str">
        <f t="shared" si="18"/>
        <v>-</v>
      </c>
      <c r="N14" s="328"/>
      <c r="O14" s="322"/>
      <c r="P14" s="322"/>
      <c r="Q14" s="326">
        <f t="shared" si="13"/>
        <v>0</v>
      </c>
      <c r="R14" s="327" t="str">
        <f t="shared" si="14"/>
        <v>-</v>
      </c>
      <c r="S14" s="328"/>
      <c r="T14" s="322"/>
      <c r="U14" s="322"/>
      <c r="V14" s="326">
        <f t="shared" si="19"/>
        <v>0</v>
      </c>
      <c r="W14" s="327" t="str">
        <f t="shared" si="20"/>
        <v>-</v>
      </c>
      <c r="X14" s="328"/>
    </row>
    <row r="15" spans="1:27" ht="111" customHeight="1" x14ac:dyDescent="0.2">
      <c r="A15" s="535">
        <v>13</v>
      </c>
      <c r="B15" s="536" t="s">
        <v>323</v>
      </c>
      <c r="C15" s="529">
        <f>C5-C6-C7+C8-C9+C10+C11+C12-C13-C14</f>
        <v>-552929</v>
      </c>
      <c r="D15" s="529">
        <f>D5-D6-D7+D8-D9+D10+D11+D12-D13-D14</f>
        <v>-1180410</v>
      </c>
      <c r="E15" s="530">
        <f>E5-E7+E8-E9+E12</f>
        <v>146802</v>
      </c>
      <c r="F15" s="529">
        <f t="shared" ref="F15" si="21">F5-F6-F7+F8-F9+F10+F11+F12-F13-F14</f>
        <v>-197214</v>
      </c>
      <c r="G15" s="531">
        <f>F15-E15</f>
        <v>-344016</v>
      </c>
      <c r="H15" s="532">
        <f t="shared" si="16"/>
        <v>-2.3434013160583644</v>
      </c>
      <c r="I15" s="635" t="s">
        <v>324</v>
      </c>
      <c r="J15" s="529">
        <f>J5-J7+J8-J9+J12</f>
        <v>-130523</v>
      </c>
      <c r="K15" s="530">
        <f t="shared" ref="K15" si="22">K5-K6-K7+K8-K9+K10+K11+K12-K13-K14</f>
        <v>-398701</v>
      </c>
      <c r="L15" s="531">
        <f>K15-J15</f>
        <v>-268178</v>
      </c>
      <c r="M15" s="532">
        <f t="shared" si="18"/>
        <v>-2.0546417106563593</v>
      </c>
      <c r="N15" s="533"/>
      <c r="O15" s="529">
        <f>O5-O7+O8-O9+O12</f>
        <v>-461700</v>
      </c>
      <c r="P15" s="529">
        <f t="shared" ref="P15" si="23">P5-P6-P7+P8-P9+P10+P11+P12-P13-P14</f>
        <v>-319534</v>
      </c>
      <c r="Q15" s="531">
        <f t="shared" ref="Q15:Q19" si="24">P15-O15</f>
        <v>142166</v>
      </c>
      <c r="R15" s="532">
        <f t="shared" ref="R15:R20" si="25">IFERROR(Q15/ABS(O15), "-")</f>
        <v>0.30791856183669047</v>
      </c>
      <c r="S15" s="533"/>
      <c r="T15" s="529">
        <f>T5-T7+T8-T9+T12</f>
        <v>-1180410</v>
      </c>
      <c r="U15" s="329">
        <f>U5-U6-U7+U8-U9+U10+U11+U12-U13-U14</f>
        <v>12604</v>
      </c>
      <c r="V15" s="330">
        <f t="shared" si="19"/>
        <v>1193014</v>
      </c>
      <c r="W15" s="331">
        <f t="shared" si="20"/>
        <v>1.0106776459026949</v>
      </c>
      <c r="X15" s="366"/>
    </row>
    <row r="16" spans="1:27" ht="81.75" customHeight="1" x14ac:dyDescent="0.2">
      <c r="A16" s="316">
        <v>14</v>
      </c>
      <c r="B16" s="321" t="s">
        <v>325</v>
      </c>
      <c r="C16" s="322"/>
      <c r="D16" s="322"/>
      <c r="E16" s="521"/>
      <c r="F16" s="322"/>
      <c r="G16" s="326">
        <f t="shared" si="15"/>
        <v>0</v>
      </c>
      <c r="H16" s="327" t="str">
        <f t="shared" si="16"/>
        <v>-</v>
      </c>
      <c r="I16" s="328"/>
      <c r="J16" s="322"/>
      <c r="K16" s="521"/>
      <c r="L16" s="326">
        <f t="shared" si="17"/>
        <v>0</v>
      </c>
      <c r="M16" s="327" t="str">
        <f t="shared" si="18"/>
        <v>-</v>
      </c>
      <c r="N16" s="328"/>
      <c r="O16" s="322"/>
      <c r="P16" s="322"/>
      <c r="Q16" s="326">
        <f t="shared" si="24"/>
        <v>0</v>
      </c>
      <c r="R16" s="327" t="str">
        <f t="shared" si="25"/>
        <v>-</v>
      </c>
      <c r="S16" s="328"/>
      <c r="T16" s="322"/>
      <c r="U16" s="322"/>
      <c r="V16" s="326">
        <f t="shared" si="19"/>
        <v>0</v>
      </c>
      <c r="W16" s="327" t="str">
        <f t="shared" si="20"/>
        <v>-</v>
      </c>
      <c r="X16" s="328"/>
    </row>
    <row r="17" spans="1:24" ht="116.25" customHeight="1" x14ac:dyDescent="0.2">
      <c r="A17" s="535">
        <v>15</v>
      </c>
      <c r="B17" s="536" t="s">
        <v>326</v>
      </c>
      <c r="C17" s="537">
        <f>C15-C16</f>
        <v>-552929</v>
      </c>
      <c r="D17" s="537">
        <f t="shared" ref="D17:Q17" si="26">D15-D16</f>
        <v>-1180410</v>
      </c>
      <c r="E17" s="538">
        <f t="shared" si="26"/>
        <v>146802</v>
      </c>
      <c r="F17" s="537">
        <f t="shared" ref="F17" si="27">F15-F16</f>
        <v>-197214</v>
      </c>
      <c r="G17" s="537">
        <f>G15-G16</f>
        <v>-344016</v>
      </c>
      <c r="H17" s="539">
        <f t="shared" si="16"/>
        <v>-2.3434013160583644</v>
      </c>
      <c r="I17" s="540"/>
      <c r="J17" s="537">
        <f t="shared" si="26"/>
        <v>-130523</v>
      </c>
      <c r="K17" s="538">
        <f t="shared" si="26"/>
        <v>-398701</v>
      </c>
      <c r="L17" s="537">
        <f>L15-L16</f>
        <v>-268178</v>
      </c>
      <c r="M17" s="539">
        <f t="shared" si="18"/>
        <v>-2.0546417106563593</v>
      </c>
      <c r="N17" s="540"/>
      <c r="O17" s="537">
        <f t="shared" ref="O17:P17" si="28">O15-O16</f>
        <v>-461700</v>
      </c>
      <c r="P17" s="537">
        <f t="shared" si="28"/>
        <v>-319534</v>
      </c>
      <c r="Q17" s="537">
        <f t="shared" si="26"/>
        <v>142166</v>
      </c>
      <c r="R17" s="539">
        <f t="shared" si="25"/>
        <v>0.30791856183669047</v>
      </c>
      <c r="S17" s="537">
        <f t="shared" ref="S17" si="29">S15-S16</f>
        <v>0</v>
      </c>
      <c r="T17" s="537">
        <f>T15-T16</f>
        <v>-1180410</v>
      </c>
      <c r="U17" s="332">
        <f>U15-U16</f>
        <v>12604</v>
      </c>
      <c r="V17" s="334">
        <f t="shared" si="19"/>
        <v>1193014</v>
      </c>
      <c r="W17" s="333">
        <f>IFERROR(V17/ABS(T17), "-")</f>
        <v>1.0106776459026949</v>
      </c>
      <c r="X17" s="335"/>
    </row>
    <row r="18" spans="1:24" ht="113.25" customHeight="1" x14ac:dyDescent="0.2">
      <c r="A18" s="316">
        <v>16</v>
      </c>
      <c r="B18" s="321" t="s">
        <v>327</v>
      </c>
      <c r="C18" s="322"/>
      <c r="D18" s="322"/>
      <c r="E18" s="521"/>
      <c r="F18" s="322"/>
      <c r="G18" s="326">
        <f t="shared" si="15"/>
        <v>0</v>
      </c>
      <c r="H18" s="327" t="str">
        <f t="shared" si="16"/>
        <v>-</v>
      </c>
      <c r="I18" s="328"/>
      <c r="J18" s="322"/>
      <c r="K18" s="521"/>
      <c r="L18" s="326">
        <f t="shared" si="17"/>
        <v>0</v>
      </c>
      <c r="M18" s="327" t="str">
        <f t="shared" si="18"/>
        <v>-</v>
      </c>
      <c r="N18" s="328"/>
      <c r="O18" s="322"/>
      <c r="P18" s="322"/>
      <c r="Q18" s="326">
        <f t="shared" si="24"/>
        <v>0</v>
      </c>
      <c r="R18" s="327" t="str">
        <f t="shared" si="25"/>
        <v>-</v>
      </c>
      <c r="S18" s="328"/>
      <c r="T18" s="322"/>
      <c r="U18" s="322"/>
      <c r="V18" s="326">
        <f t="shared" si="19"/>
        <v>0</v>
      </c>
      <c r="W18" s="327" t="str">
        <f t="shared" si="20"/>
        <v>-</v>
      </c>
      <c r="X18" s="328"/>
    </row>
    <row r="19" spans="1:24" ht="41.25" customHeight="1" x14ac:dyDescent="0.2">
      <c r="A19" s="316">
        <v>17</v>
      </c>
      <c r="B19" s="321" t="s">
        <v>328</v>
      </c>
      <c r="C19" s="322"/>
      <c r="D19" s="322"/>
      <c r="E19" s="521"/>
      <c r="F19" s="322"/>
      <c r="G19" s="326">
        <f t="shared" si="15"/>
        <v>0</v>
      </c>
      <c r="H19" s="327" t="str">
        <f t="shared" si="16"/>
        <v>-</v>
      </c>
      <c r="I19" s="328"/>
      <c r="J19" s="322"/>
      <c r="K19" s="521"/>
      <c r="L19" s="326">
        <f t="shared" si="17"/>
        <v>0</v>
      </c>
      <c r="M19" s="327" t="str">
        <f t="shared" si="18"/>
        <v>-</v>
      </c>
      <c r="N19" s="328"/>
      <c r="O19" s="322"/>
      <c r="P19" s="322"/>
      <c r="Q19" s="326">
        <f t="shared" si="24"/>
        <v>0</v>
      </c>
      <c r="R19" s="327" t="str">
        <f t="shared" si="25"/>
        <v>-</v>
      </c>
      <c r="S19" s="328"/>
      <c r="T19" s="322"/>
      <c r="U19" s="322"/>
      <c r="V19" s="326">
        <f t="shared" si="19"/>
        <v>0</v>
      </c>
      <c r="W19" s="327" t="str">
        <f t="shared" si="20"/>
        <v>-</v>
      </c>
      <c r="X19" s="328"/>
    </row>
    <row r="20" spans="1:24" ht="89.25" customHeight="1" x14ac:dyDescent="0.25">
      <c r="A20" s="535">
        <v>18</v>
      </c>
      <c r="B20" s="536" t="s">
        <v>329</v>
      </c>
      <c r="C20" s="529">
        <f>C17-C18-C19</f>
        <v>-552929</v>
      </c>
      <c r="D20" s="529">
        <f>D17-D18-D19</f>
        <v>-1180410</v>
      </c>
      <c r="E20" s="530">
        <f>E17-E18-E19</f>
        <v>146802</v>
      </c>
      <c r="F20" s="529">
        <f t="shared" ref="F20:G20" si="30">F17-F18-F19</f>
        <v>-197214</v>
      </c>
      <c r="G20" s="529">
        <f t="shared" si="30"/>
        <v>-344016</v>
      </c>
      <c r="H20" s="539">
        <f t="shared" si="16"/>
        <v>-2.3434013160583644</v>
      </c>
      <c r="I20" s="636"/>
      <c r="J20" s="529">
        <f>J17-J18-J19</f>
        <v>-130523</v>
      </c>
      <c r="K20" s="530">
        <f t="shared" ref="K20:U20" si="31">K17-K18-K19</f>
        <v>-398701</v>
      </c>
      <c r="L20" s="529">
        <f t="shared" si="31"/>
        <v>-268178</v>
      </c>
      <c r="M20" s="539">
        <f t="shared" si="18"/>
        <v>-2.0546417106563593</v>
      </c>
      <c r="N20" s="541"/>
      <c r="O20" s="529">
        <f>O17-O18-O19</f>
        <v>-461700</v>
      </c>
      <c r="P20" s="529">
        <f t="shared" ref="P20" si="32">P17-P18-P19</f>
        <v>-319534</v>
      </c>
      <c r="Q20" s="529">
        <f t="shared" si="31"/>
        <v>142166</v>
      </c>
      <c r="R20" s="539">
        <f t="shared" si="25"/>
        <v>0.30791856183669047</v>
      </c>
      <c r="S20" s="529">
        <f t="shared" ref="S20" si="33">S17-S18-S19</f>
        <v>0</v>
      </c>
      <c r="T20" s="529">
        <f>T17-T18-T19</f>
        <v>-1180410</v>
      </c>
      <c r="U20" s="329">
        <f t="shared" si="31"/>
        <v>12604</v>
      </c>
      <c r="V20" s="330">
        <f t="shared" si="19"/>
        <v>1193014</v>
      </c>
      <c r="W20" s="331">
        <f>IFERROR(V20/ABS(T20), "-")</f>
        <v>1.0106776459026949</v>
      </c>
    </row>
    <row r="21" spans="1:24" ht="47.25" x14ac:dyDescent="0.2">
      <c r="A21" s="336">
        <v>19</v>
      </c>
      <c r="B21" s="337" t="s">
        <v>330</v>
      </c>
      <c r="C21" s="338"/>
      <c r="D21" s="338"/>
      <c r="E21" s="523"/>
      <c r="F21" s="338"/>
      <c r="G21" s="339"/>
      <c r="H21" s="340"/>
      <c r="I21" s="497"/>
      <c r="J21" s="362"/>
      <c r="K21" s="727"/>
      <c r="L21" s="339"/>
      <c r="M21" s="340"/>
      <c r="N21" s="497"/>
      <c r="O21" s="362"/>
      <c r="P21" s="362"/>
      <c r="Q21" s="363"/>
      <c r="R21" s="364"/>
      <c r="S21" s="365"/>
      <c r="T21" s="362"/>
      <c r="U21" s="338"/>
      <c r="V21" s="339"/>
      <c r="W21" s="340"/>
      <c r="X21" s="341"/>
    </row>
    <row r="22" spans="1:24" ht="19.5" x14ac:dyDescent="0.2">
      <c r="A22" s="19"/>
      <c r="B22" s="20"/>
      <c r="C22" s="21"/>
      <c r="D22" s="21"/>
      <c r="E22" s="524"/>
      <c r="F22" s="367"/>
      <c r="G22" s="367"/>
      <c r="H22" s="367"/>
      <c r="I22" s="367"/>
      <c r="J22" s="367"/>
      <c r="K22" s="524"/>
      <c r="L22" s="368"/>
      <c r="M22" s="369"/>
      <c r="N22" s="370"/>
      <c r="O22" s="367"/>
      <c r="P22" s="367"/>
      <c r="Q22" s="368"/>
      <c r="R22" s="369"/>
      <c r="S22" s="370"/>
      <c r="T22" s="367"/>
      <c r="U22" s="21"/>
      <c r="V22" s="342"/>
      <c r="W22" s="343"/>
      <c r="X22" s="22"/>
    </row>
    <row r="23" spans="1:24" ht="19.5" x14ac:dyDescent="0.2">
      <c r="A23" s="19"/>
      <c r="B23" s="20"/>
      <c r="C23" s="21"/>
      <c r="D23" s="21"/>
      <c r="E23" s="524"/>
      <c r="F23" s="367"/>
      <c r="G23" s="367"/>
      <c r="H23" s="367"/>
      <c r="I23" s="367"/>
      <c r="J23" s="367"/>
      <c r="K23" s="524"/>
      <c r="L23" s="368"/>
      <c r="M23" s="369"/>
      <c r="N23" s="370"/>
      <c r="O23" s="367"/>
      <c r="P23" s="367"/>
      <c r="Q23" s="368"/>
      <c r="R23" s="369"/>
      <c r="S23" s="370"/>
      <c r="T23" s="367"/>
      <c r="U23" s="21"/>
      <c r="V23" s="342"/>
      <c r="W23" s="343"/>
      <c r="X23" s="22"/>
    </row>
    <row r="24" spans="1:24" ht="26.25" customHeight="1" x14ac:dyDescent="0.25">
      <c r="A24" s="904" t="s">
        <v>290</v>
      </c>
      <c r="B24" s="904"/>
      <c r="C24" s="344"/>
      <c r="D24" s="371"/>
      <c r="E24" s="525"/>
      <c r="F24" s="372"/>
      <c r="G24" s="372"/>
      <c r="H24" s="372"/>
      <c r="I24" s="372"/>
      <c r="J24" s="373"/>
      <c r="K24" s="728"/>
      <c r="L24" s="374"/>
      <c r="M24" s="374"/>
      <c r="N24" s="374"/>
      <c r="O24" s="375"/>
      <c r="P24" s="374"/>
      <c r="Q24" s="374"/>
      <c r="R24" s="374"/>
      <c r="S24" s="374"/>
      <c r="T24" s="376"/>
      <c r="U24" s="6"/>
      <c r="V24" s="6"/>
      <c r="W24" s="6"/>
      <c r="X24" s="6"/>
    </row>
    <row r="25" spans="1:24" ht="63.75" customHeight="1" x14ac:dyDescent="0.2">
      <c r="A25" s="905" t="s">
        <v>331</v>
      </c>
      <c r="B25" s="905"/>
      <c r="C25" s="905"/>
      <c r="D25" s="905"/>
      <c r="E25" s="905"/>
      <c r="F25" s="465"/>
      <c r="G25" s="465"/>
      <c r="H25" s="465"/>
      <c r="I25" s="465"/>
      <c r="J25" s="377"/>
      <c r="O25" s="378"/>
      <c r="P25" s="379"/>
      <c r="Q25" s="379"/>
      <c r="R25" s="379"/>
      <c r="S25" s="379"/>
      <c r="T25" s="378"/>
    </row>
    <row r="26" spans="1:24" ht="44.25" customHeight="1" x14ac:dyDescent="0.2">
      <c r="A26" s="903" t="s">
        <v>332</v>
      </c>
      <c r="B26" s="903"/>
      <c r="C26" s="903"/>
      <c r="D26" s="903"/>
      <c r="E26" s="903"/>
      <c r="F26" s="464"/>
      <c r="G26" s="464"/>
      <c r="H26" s="464"/>
      <c r="I26" s="464"/>
      <c r="J26" s="6"/>
      <c r="K26" s="526"/>
      <c r="L26" s="6"/>
      <c r="M26" s="6"/>
      <c r="N26" s="6"/>
      <c r="O26" s="6"/>
      <c r="P26" s="6"/>
      <c r="Q26" s="6"/>
      <c r="R26" s="6"/>
      <c r="S26" s="6"/>
      <c r="T26" s="6"/>
      <c r="U26" s="6"/>
      <c r="V26" s="6"/>
      <c r="W26" s="6"/>
      <c r="X26" s="6"/>
    </row>
    <row r="27" spans="1:24" x14ac:dyDescent="0.2">
      <c r="A27" s="6"/>
      <c r="B27" s="6"/>
      <c r="C27" s="6"/>
      <c r="D27" s="6"/>
      <c r="E27" s="526"/>
      <c r="F27" s="6"/>
      <c r="G27" s="6"/>
      <c r="H27" s="6"/>
      <c r="I27" s="6"/>
      <c r="J27" s="6"/>
      <c r="K27" s="526"/>
      <c r="L27" s="6"/>
      <c r="M27" s="6"/>
      <c r="N27" s="6"/>
      <c r="O27" s="6"/>
      <c r="P27" s="6"/>
      <c r="Q27" s="6"/>
      <c r="R27" s="6"/>
      <c r="S27" s="6"/>
      <c r="T27" s="6"/>
      <c r="U27" s="6"/>
      <c r="V27" s="6"/>
      <c r="W27" s="6"/>
      <c r="X27" s="6"/>
    </row>
    <row r="28" spans="1:24" x14ac:dyDescent="0.2">
      <c r="A28" s="6"/>
      <c r="B28" s="6"/>
      <c r="C28" s="6"/>
      <c r="D28" s="6"/>
      <c r="E28" s="526"/>
      <c r="F28" s="6"/>
      <c r="G28" s="6"/>
      <c r="H28" s="6"/>
      <c r="I28" s="6"/>
      <c r="J28" s="6"/>
      <c r="K28" s="526"/>
      <c r="L28" s="6"/>
      <c r="M28" s="6"/>
      <c r="N28" s="6"/>
      <c r="O28" s="6"/>
      <c r="P28" s="6"/>
      <c r="Q28" s="6"/>
      <c r="R28" s="6"/>
      <c r="S28" s="6"/>
      <c r="T28" s="6"/>
      <c r="U28" s="6"/>
      <c r="V28" s="6"/>
      <c r="W28" s="6"/>
      <c r="X28" s="6"/>
    </row>
    <row r="29" spans="1:24" ht="18.75" x14ac:dyDescent="0.2">
      <c r="A29" s="9"/>
      <c r="B29" s="8"/>
      <c r="C29" s="7"/>
      <c r="D29" s="7"/>
      <c r="E29" s="527"/>
      <c r="F29" s="7"/>
      <c r="G29" s="7"/>
      <c r="H29" s="7"/>
      <c r="I29" s="7"/>
      <c r="J29" s="7"/>
      <c r="K29" s="527"/>
      <c r="L29" s="7"/>
      <c r="M29" s="7"/>
      <c r="N29" s="7"/>
      <c r="O29" s="7"/>
      <c r="P29" s="7"/>
      <c r="Q29" s="7"/>
      <c r="R29" s="7"/>
      <c r="S29" s="7"/>
      <c r="T29" s="7"/>
      <c r="U29" s="7"/>
      <c r="V29" s="7"/>
      <c r="W29" s="7"/>
      <c r="X29" s="7"/>
    </row>
    <row r="30" spans="1:24" ht="18.75" x14ac:dyDescent="0.2">
      <c r="A30" s="9"/>
      <c r="B30" s="8"/>
      <c r="C30" s="7"/>
      <c r="D30" s="7"/>
      <c r="E30" s="527"/>
      <c r="F30" s="7"/>
      <c r="G30" s="7"/>
      <c r="H30" s="7"/>
      <c r="I30" s="7"/>
      <c r="J30" s="7"/>
      <c r="K30" s="527"/>
      <c r="L30" s="7"/>
      <c r="M30" s="7"/>
      <c r="N30" s="7"/>
      <c r="O30" s="7"/>
      <c r="P30" s="7"/>
      <c r="Q30" s="7"/>
      <c r="R30" s="7"/>
      <c r="S30" s="7"/>
      <c r="T30" s="7"/>
      <c r="U30" s="7"/>
      <c r="V30" s="7"/>
      <c r="W30" s="7"/>
      <c r="X30" s="7"/>
    </row>
    <row r="31" spans="1:24" ht="18.75" x14ac:dyDescent="0.2">
      <c r="A31" s="9"/>
      <c r="B31" s="8"/>
      <c r="C31" s="7"/>
      <c r="D31" s="7"/>
      <c r="E31" s="527"/>
      <c r="F31" s="7"/>
      <c r="G31" s="7"/>
      <c r="H31" s="7"/>
      <c r="I31" s="7"/>
      <c r="J31" s="7"/>
      <c r="K31" s="527"/>
      <c r="L31" s="7"/>
      <c r="M31" s="7"/>
      <c r="N31" s="7"/>
      <c r="O31" s="7"/>
      <c r="P31" s="7"/>
      <c r="Q31" s="7"/>
      <c r="R31" s="7"/>
      <c r="S31" s="7"/>
      <c r="T31" s="7"/>
      <c r="U31" s="7"/>
      <c r="V31" s="7"/>
      <c r="W31" s="7"/>
      <c r="X31" s="7"/>
    </row>
    <row r="32" spans="1:24" ht="18.75" x14ac:dyDescent="0.2">
      <c r="A32" s="9"/>
      <c r="B32" s="8"/>
      <c r="C32" s="7"/>
      <c r="D32" s="7"/>
      <c r="E32" s="527"/>
      <c r="F32" s="7"/>
      <c r="G32" s="7"/>
      <c r="H32" s="7"/>
      <c r="I32" s="7"/>
      <c r="J32" s="7"/>
      <c r="K32" s="527"/>
      <c r="L32" s="7"/>
      <c r="M32" s="7"/>
      <c r="N32" s="7"/>
      <c r="O32" s="7"/>
      <c r="P32" s="7"/>
      <c r="Q32" s="7"/>
      <c r="R32" s="7"/>
      <c r="S32" s="7"/>
      <c r="T32" s="7"/>
      <c r="U32" s="7"/>
      <c r="V32" s="7"/>
      <c r="W32" s="7"/>
      <c r="X32" s="7"/>
    </row>
    <row r="33" spans="1:24" ht="18.75" x14ac:dyDescent="0.2">
      <c r="A33" s="9"/>
      <c r="B33" s="8"/>
      <c r="C33" s="7"/>
      <c r="D33" s="7"/>
      <c r="E33" s="527"/>
      <c r="F33" s="7"/>
      <c r="G33" s="7"/>
      <c r="H33" s="7"/>
      <c r="I33" s="7"/>
      <c r="J33" s="7"/>
      <c r="K33" s="527"/>
      <c r="L33" s="7"/>
      <c r="M33" s="7"/>
      <c r="N33" s="7"/>
      <c r="O33" s="7"/>
      <c r="P33" s="7"/>
      <c r="Q33" s="7"/>
      <c r="R33" s="7"/>
      <c r="S33" s="7"/>
      <c r="T33" s="7"/>
      <c r="U33" s="7"/>
      <c r="V33" s="7"/>
      <c r="W33" s="7"/>
      <c r="X33" s="7"/>
    </row>
    <row r="34" spans="1:24" ht="18.75" x14ac:dyDescent="0.2">
      <c r="A34" s="9"/>
      <c r="B34" s="8"/>
      <c r="C34" s="7"/>
      <c r="D34" s="7"/>
      <c r="E34" s="527"/>
      <c r="F34" s="7"/>
      <c r="G34" s="7"/>
      <c r="H34" s="7"/>
      <c r="I34" s="7"/>
      <c r="J34" s="7"/>
      <c r="K34" s="527"/>
      <c r="L34" s="7"/>
      <c r="M34" s="7"/>
      <c r="N34" s="7"/>
      <c r="O34" s="7"/>
      <c r="P34" s="7"/>
      <c r="Q34" s="7"/>
      <c r="R34" s="7"/>
      <c r="S34" s="7"/>
      <c r="T34" s="7"/>
      <c r="U34" s="7"/>
      <c r="V34" s="7"/>
      <c r="W34" s="7"/>
      <c r="X34" s="7"/>
    </row>
  </sheetData>
  <sheetProtection formatColumns="0" formatRows="0"/>
  <mergeCells count="3">
    <mergeCell ref="A26:E26"/>
    <mergeCell ref="A24:B24"/>
    <mergeCell ref="A25:E25"/>
  </mergeCells>
  <pageMargins left="0.23622047244094491" right="0.23622047244094491" top="0.74803149606299213" bottom="0.74803149606299213" header="0.31496062992125984" footer="0.31496062992125984"/>
  <pageSetup paperSize="9" fitToHeight="0" orientation="portrait" verticalDpi="90" r:id="rId1"/>
  <headerFooter>
    <oddHeader>&amp;C&amp;"Times New Roman,Bold"&amp;14Peļņas vai zaudējumu aprēķins&amp;R&amp;"Times New Roman,Regular"&amp;14 2.pielikums</oddHeader>
    <oddFooter>&amp;C&amp;"Times New Roman,Regular"&amp;12&amp;F&amp;R&amp;"Times New Roman,Regular"&amp;12&amp;P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AE107"/>
  <sheetViews>
    <sheetView zoomScale="85" zoomScaleNormal="85" zoomScaleSheetLayoutView="100" workbookViewId="0">
      <pane ySplit="1" topLeftCell="A67" activePane="bottomLeft" state="frozen"/>
      <selection pane="bottomLeft" activeCell="U80" sqref="A79:U80"/>
    </sheetView>
  </sheetViews>
  <sheetFormatPr defaultColWidth="9.140625" defaultRowHeight="15.75" outlineLevelCol="1" x14ac:dyDescent="0.2"/>
  <cols>
    <col min="1" max="1" width="14.28515625" style="32" customWidth="1"/>
    <col min="2" max="2" width="51.5703125" style="32" bestFit="1" customWidth="1"/>
    <col min="3" max="3" width="11.140625" style="36" hidden="1" customWidth="1"/>
    <col min="4" max="5" width="11.140625" style="427" hidden="1" customWidth="1"/>
    <col min="6" max="6" width="17.7109375" style="36" hidden="1" customWidth="1" outlineLevel="1"/>
    <col min="7" max="8" width="17.7109375" style="43" hidden="1" customWidth="1" outlineLevel="1"/>
    <col min="9" max="9" width="43.28515625" style="36" hidden="1" customWidth="1" outlineLevel="1"/>
    <col min="10" max="10" width="15" style="427" hidden="1" customWidth="1" collapsed="1"/>
    <col min="11" max="11" width="17.7109375" style="477" hidden="1" customWidth="1" outlineLevel="1"/>
    <col min="12" max="13" width="17.7109375" style="43" hidden="1" customWidth="1" outlineLevel="1"/>
    <col min="14" max="14" width="43.28515625" style="36" hidden="1" customWidth="1" outlineLevel="1"/>
    <col min="15" max="15" width="13.42578125" style="427" hidden="1" customWidth="1" collapsed="1"/>
    <col min="16" max="16" width="17.7109375" style="36" hidden="1" customWidth="1" outlineLevel="1"/>
    <col min="17" max="17" width="14.85546875" style="43" hidden="1" customWidth="1" outlineLevel="1"/>
    <col min="18" max="18" width="14" style="43" hidden="1" customWidth="1" outlineLevel="1"/>
    <col min="19" max="19" width="26.28515625" style="36" hidden="1" customWidth="1" outlineLevel="1"/>
    <col min="20" max="20" width="17.7109375" style="427" customWidth="1" collapsed="1"/>
    <col min="21" max="21" width="17.7109375" style="36" customWidth="1" outlineLevel="1"/>
    <col min="22" max="23" width="17.7109375" style="43" customWidth="1" outlineLevel="1"/>
    <col min="24" max="24" width="43.28515625" style="36" customWidth="1" outlineLevel="1"/>
    <col min="25" max="25" width="2" style="36" customWidth="1"/>
    <col min="26" max="26" width="9.140625" style="36"/>
    <col min="27" max="27" width="14.140625" style="36" customWidth="1"/>
    <col min="28" max="28" width="15.140625" style="36" customWidth="1"/>
    <col min="29" max="29" width="14.85546875" style="36" customWidth="1"/>
    <col min="30" max="16384" width="9.140625" style="36"/>
  </cols>
  <sheetData>
    <row r="1" spans="1:31" s="32" customFormat="1" ht="132" customHeight="1" x14ac:dyDescent="0.2">
      <c r="A1" s="23" t="s">
        <v>0</v>
      </c>
      <c r="B1" s="31" t="s">
        <v>333</v>
      </c>
      <c r="C1" s="448" t="s">
        <v>2</v>
      </c>
      <c r="D1" s="448" t="s">
        <v>3</v>
      </c>
      <c r="E1" s="448" t="s">
        <v>4</v>
      </c>
      <c r="F1" s="448" t="s">
        <v>5</v>
      </c>
      <c r="G1" s="547" t="s">
        <v>6</v>
      </c>
      <c r="H1" s="548" t="s">
        <v>7</v>
      </c>
      <c r="I1" s="448" t="s">
        <v>334</v>
      </c>
      <c r="J1" s="448" t="s">
        <v>9</v>
      </c>
      <c r="K1" s="448" t="s">
        <v>10</v>
      </c>
      <c r="L1" s="547" t="s">
        <v>6</v>
      </c>
      <c r="M1" s="548" t="s">
        <v>7</v>
      </c>
      <c r="N1" s="448" t="s">
        <v>334</v>
      </c>
      <c r="O1" s="448" t="s">
        <v>11</v>
      </c>
      <c r="P1" s="448" t="s">
        <v>12</v>
      </c>
      <c r="Q1" s="547" t="s">
        <v>6</v>
      </c>
      <c r="R1" s="548" t="s">
        <v>7</v>
      </c>
      <c r="S1" s="448" t="s">
        <v>334</v>
      </c>
      <c r="T1" s="448" t="s">
        <v>13</v>
      </c>
      <c r="U1" s="448" t="s">
        <v>14</v>
      </c>
      <c r="V1" s="547" t="s">
        <v>6</v>
      </c>
      <c r="W1" s="548" t="s">
        <v>7</v>
      </c>
      <c r="X1" s="448" t="s">
        <v>334</v>
      </c>
      <c r="Y1" s="549"/>
      <c r="Z1" s="549"/>
    </row>
    <row r="2" spans="1:31" s="32" customFormat="1" ht="12" customHeight="1" x14ac:dyDescent="0.2">
      <c r="A2" s="33">
        <v>1</v>
      </c>
      <c r="B2" s="24">
        <v>2</v>
      </c>
      <c r="C2" s="448">
        <v>3</v>
      </c>
      <c r="D2" s="448">
        <v>4</v>
      </c>
      <c r="E2" s="448">
        <v>5</v>
      </c>
      <c r="F2" s="448">
        <v>6</v>
      </c>
      <c r="G2" s="547">
        <v>7</v>
      </c>
      <c r="H2" s="550">
        <v>8</v>
      </c>
      <c r="I2" s="448">
        <v>9</v>
      </c>
      <c r="J2" s="448">
        <v>10</v>
      </c>
      <c r="K2" s="448">
        <v>11</v>
      </c>
      <c r="L2" s="547">
        <v>12</v>
      </c>
      <c r="M2" s="550">
        <v>13</v>
      </c>
      <c r="N2" s="448">
        <v>14</v>
      </c>
      <c r="O2" s="448">
        <v>15</v>
      </c>
      <c r="P2" s="448">
        <v>16</v>
      </c>
      <c r="Q2" s="547">
        <v>17</v>
      </c>
      <c r="R2" s="550">
        <v>18</v>
      </c>
      <c r="S2" s="448">
        <v>19</v>
      </c>
      <c r="T2" s="448">
        <v>20</v>
      </c>
      <c r="U2" s="448">
        <v>21</v>
      </c>
      <c r="V2" s="547">
        <v>22</v>
      </c>
      <c r="W2" s="550">
        <v>23</v>
      </c>
      <c r="X2" s="448">
        <v>24</v>
      </c>
      <c r="Y2" s="549"/>
      <c r="Z2" s="549"/>
    </row>
    <row r="3" spans="1:31" s="32" customFormat="1" x14ac:dyDescent="0.2">
      <c r="A3" s="542">
        <v>1000</v>
      </c>
      <c r="B3" s="543" t="s">
        <v>335</v>
      </c>
      <c r="C3" s="545">
        <f>C4+C11</f>
        <v>14094863</v>
      </c>
      <c r="D3" s="545">
        <f>D4+D11</f>
        <v>16135045</v>
      </c>
      <c r="E3" s="545">
        <f>E4+E11+E21</f>
        <v>14233827</v>
      </c>
      <c r="F3" s="545">
        <f t="shared" ref="F3" si="0">F4+F11</f>
        <v>13959580</v>
      </c>
      <c r="G3" s="551">
        <f t="shared" ref="G3:G20" si="1">F3-E3</f>
        <v>-274247</v>
      </c>
      <c r="H3" s="552">
        <f t="shared" ref="H3:H47" si="2">IFERROR(G3/ABS(E3), "-")</f>
        <v>-1.9267270847116519E-2</v>
      </c>
      <c r="I3" s="553"/>
      <c r="J3" s="545">
        <f>J4+J11+J21</f>
        <v>14583277</v>
      </c>
      <c r="K3" s="545">
        <f>K4+K11+K21</f>
        <v>14597012</v>
      </c>
      <c r="L3" s="551">
        <f t="shared" ref="L3:L20" si="3">K3-J3</f>
        <v>13735</v>
      </c>
      <c r="M3" s="552">
        <f t="shared" ref="M3:M47" si="4">IFERROR(L3/ABS(J3), "-")</f>
        <v>9.418322095918496E-4</v>
      </c>
      <c r="N3" s="554"/>
      <c r="O3" s="545">
        <f>O4+O11+O21</f>
        <v>16233127</v>
      </c>
      <c r="P3" s="545">
        <f>P4+P11+P21</f>
        <v>15052075.880000001</v>
      </c>
      <c r="Q3" s="551">
        <f t="shared" ref="Q3:Q20" si="5">P3-O3</f>
        <v>-1181051.1199999992</v>
      </c>
      <c r="R3" s="552">
        <f t="shared" ref="R3:R44" si="6">IFERROR(Q3/ABS(O3), "-")</f>
        <v>-7.2755613875256392E-2</v>
      </c>
      <c r="S3" s="553"/>
      <c r="T3" s="545">
        <f>T4+T11+T21</f>
        <v>16135045</v>
      </c>
      <c r="U3" s="555">
        <f>U4+U11+U21</f>
        <v>15794405</v>
      </c>
      <c r="V3" s="556">
        <f t="shared" ref="V3:V47" si="7">U3-T3</f>
        <v>-340640</v>
      </c>
      <c r="W3" s="557">
        <f t="shared" ref="W3:W47" si="8">IFERROR(V3/ABS(T3), "-")</f>
        <v>-2.1111809728451329E-2</v>
      </c>
      <c r="X3" s="558"/>
      <c r="Y3" s="549"/>
      <c r="Z3" s="549"/>
    </row>
    <row r="4" spans="1:31" s="32" customFormat="1" ht="15.75" customHeight="1" x14ac:dyDescent="0.2">
      <c r="A4" s="157">
        <v>1100</v>
      </c>
      <c r="B4" s="44" t="s">
        <v>336</v>
      </c>
      <c r="C4" s="441">
        <f>C5+C6+C7+C8+C9+C10</f>
        <v>359335</v>
      </c>
      <c r="D4" s="441">
        <f>D5+D6+D7+D8+D9+D10</f>
        <v>250335</v>
      </c>
      <c r="E4" s="441">
        <f t="shared" ref="E4" si="9">E5+E6+E7+E8+E9</f>
        <v>332085</v>
      </c>
      <c r="F4" s="441">
        <f>F5+F6+F7+F8+F9</f>
        <v>332083</v>
      </c>
      <c r="G4" s="559">
        <f t="shared" si="1"/>
        <v>-2</v>
      </c>
      <c r="H4" s="560">
        <f t="shared" si="2"/>
        <v>-6.0225544664769561E-6</v>
      </c>
      <c r="I4" s="919"/>
      <c r="J4" s="441">
        <f t="shared" ref="J4" si="10">J5+J6+J7+J8+J9</f>
        <v>304835</v>
      </c>
      <c r="K4" s="441">
        <f>K5+K6+K7+K8+K9</f>
        <v>305587</v>
      </c>
      <c r="L4" s="559">
        <f t="shared" si="3"/>
        <v>752</v>
      </c>
      <c r="M4" s="560">
        <f t="shared" si="4"/>
        <v>2.4669083274558366E-3</v>
      </c>
      <c r="N4" s="922"/>
      <c r="O4" s="441">
        <f t="shared" ref="O4" si="11">O5+O6+O7+O8+O9</f>
        <v>277585</v>
      </c>
      <c r="P4" s="441">
        <f>P5+P6+P7+P8+P9</f>
        <v>280603</v>
      </c>
      <c r="Q4" s="559">
        <f>P4-O4</f>
        <v>3018</v>
      </c>
      <c r="R4" s="560">
        <f t="shared" si="6"/>
        <v>1.0872345407712952E-2</v>
      </c>
      <c r="S4" s="912"/>
      <c r="T4" s="441">
        <f t="shared" ref="T4" si="12">T5+T6+T7+T8+T9</f>
        <v>250335</v>
      </c>
      <c r="U4" s="441">
        <f>U5+U6+U7+U8+U9</f>
        <v>256225</v>
      </c>
      <c r="V4" s="559">
        <f t="shared" si="7"/>
        <v>5890</v>
      </c>
      <c r="W4" s="560">
        <f t="shared" si="8"/>
        <v>2.3528471847724049E-2</v>
      </c>
      <c r="X4" s="916"/>
      <c r="Y4" s="549"/>
      <c r="Z4" s="549"/>
    </row>
    <row r="5" spans="1:31" x14ac:dyDescent="0.2">
      <c r="A5" s="258">
        <v>1110</v>
      </c>
      <c r="B5" s="35" t="s">
        <v>337</v>
      </c>
      <c r="C5" s="471"/>
      <c r="D5" s="471"/>
      <c r="E5" s="471"/>
      <c r="F5" s="471"/>
      <c r="G5" s="473">
        <f t="shared" si="1"/>
        <v>0</v>
      </c>
      <c r="H5" s="474" t="str">
        <f t="shared" si="2"/>
        <v>-</v>
      </c>
      <c r="I5" s="920"/>
      <c r="J5" s="471"/>
      <c r="K5" s="472"/>
      <c r="L5" s="473">
        <f t="shared" si="3"/>
        <v>0</v>
      </c>
      <c r="M5" s="474" t="str">
        <f t="shared" si="4"/>
        <v>-</v>
      </c>
      <c r="N5" s="923"/>
      <c r="O5" s="471"/>
      <c r="P5" s="471"/>
      <c r="Q5" s="473">
        <f t="shared" si="5"/>
        <v>0</v>
      </c>
      <c r="R5" s="474" t="str">
        <f t="shared" si="6"/>
        <v>-</v>
      </c>
      <c r="S5" s="913"/>
      <c r="T5" s="471"/>
      <c r="U5" s="471"/>
      <c r="V5" s="473">
        <f t="shared" si="7"/>
        <v>0</v>
      </c>
      <c r="W5" s="474" t="str">
        <f t="shared" si="8"/>
        <v>-</v>
      </c>
      <c r="X5" s="917"/>
      <c r="Y5" s="477"/>
      <c r="Z5" s="477"/>
    </row>
    <row r="6" spans="1:31" ht="31.5" x14ac:dyDescent="0.2">
      <c r="A6" s="258">
        <v>1120</v>
      </c>
      <c r="B6" s="35" t="s">
        <v>338</v>
      </c>
      <c r="C6" s="471">
        <v>359335</v>
      </c>
      <c r="D6" s="471">
        <v>250335</v>
      </c>
      <c r="E6" s="471">
        <v>332085</v>
      </c>
      <c r="F6" s="471">
        <v>332083</v>
      </c>
      <c r="G6" s="473">
        <f t="shared" si="1"/>
        <v>-2</v>
      </c>
      <c r="H6" s="474">
        <f t="shared" si="2"/>
        <v>-6.0225544664769561E-6</v>
      </c>
      <c r="I6" s="920"/>
      <c r="J6" s="471">
        <v>304835</v>
      </c>
      <c r="K6" s="472">
        <v>305587</v>
      </c>
      <c r="L6" s="473">
        <f t="shared" si="3"/>
        <v>752</v>
      </c>
      <c r="M6" s="474">
        <f t="shared" si="4"/>
        <v>2.4669083274558366E-3</v>
      </c>
      <c r="N6" s="923"/>
      <c r="O6" s="471">
        <v>277585</v>
      </c>
      <c r="P6" s="471">
        <v>280603</v>
      </c>
      <c r="Q6" s="473">
        <f t="shared" si="5"/>
        <v>3018</v>
      </c>
      <c r="R6" s="474">
        <f t="shared" si="6"/>
        <v>1.0872345407712952E-2</v>
      </c>
      <c r="S6" s="913"/>
      <c r="T6" s="471">
        <v>250335</v>
      </c>
      <c r="U6" s="471">
        <v>256225</v>
      </c>
      <c r="V6" s="473">
        <f t="shared" si="7"/>
        <v>5890</v>
      </c>
      <c r="W6" s="474">
        <f t="shared" si="8"/>
        <v>2.3528471847724049E-2</v>
      </c>
      <c r="X6" s="917"/>
      <c r="Y6" s="477"/>
      <c r="Z6" s="477"/>
    </row>
    <row r="7" spans="1:31" x14ac:dyDescent="0.2">
      <c r="A7" s="258">
        <v>1130</v>
      </c>
      <c r="B7" s="35" t="s">
        <v>339</v>
      </c>
      <c r="C7" s="471"/>
      <c r="D7" s="471"/>
      <c r="E7" s="471"/>
      <c r="F7" s="471"/>
      <c r="G7" s="473">
        <f t="shared" si="1"/>
        <v>0</v>
      </c>
      <c r="H7" s="474" t="str">
        <f t="shared" si="2"/>
        <v>-</v>
      </c>
      <c r="I7" s="920"/>
      <c r="J7" s="471"/>
      <c r="K7" s="472"/>
      <c r="L7" s="473">
        <f t="shared" si="3"/>
        <v>0</v>
      </c>
      <c r="M7" s="474" t="str">
        <f t="shared" si="4"/>
        <v>-</v>
      </c>
      <c r="N7" s="923"/>
      <c r="O7" s="471"/>
      <c r="P7" s="471"/>
      <c r="Q7" s="473">
        <f t="shared" si="5"/>
        <v>0</v>
      </c>
      <c r="R7" s="474" t="str">
        <f t="shared" si="6"/>
        <v>-</v>
      </c>
      <c r="S7" s="913"/>
      <c r="T7" s="471"/>
      <c r="U7" s="471"/>
      <c r="V7" s="473">
        <f t="shared" si="7"/>
        <v>0</v>
      </c>
      <c r="W7" s="474" t="str">
        <f t="shared" si="8"/>
        <v>-</v>
      </c>
      <c r="X7" s="917"/>
      <c r="Y7" s="477"/>
      <c r="Z7" s="477"/>
    </row>
    <row r="8" spans="1:31" x14ac:dyDescent="0.2">
      <c r="A8" s="258">
        <v>1140</v>
      </c>
      <c r="B8" s="35" t="s">
        <v>340</v>
      </c>
      <c r="C8" s="471"/>
      <c r="D8" s="471"/>
      <c r="E8" s="471"/>
      <c r="F8" s="471"/>
      <c r="G8" s="473">
        <f t="shared" si="1"/>
        <v>0</v>
      </c>
      <c r="H8" s="474" t="str">
        <f t="shared" si="2"/>
        <v>-</v>
      </c>
      <c r="I8" s="920"/>
      <c r="J8" s="471"/>
      <c r="K8" s="472"/>
      <c r="L8" s="473">
        <f t="shared" si="3"/>
        <v>0</v>
      </c>
      <c r="M8" s="474" t="str">
        <f t="shared" si="4"/>
        <v>-</v>
      </c>
      <c r="N8" s="923"/>
      <c r="O8" s="471"/>
      <c r="P8" s="471"/>
      <c r="Q8" s="473">
        <f t="shared" si="5"/>
        <v>0</v>
      </c>
      <c r="R8" s="474" t="str">
        <f t="shared" si="6"/>
        <v>-</v>
      </c>
      <c r="S8" s="913"/>
      <c r="T8" s="471"/>
      <c r="U8" s="471"/>
      <c r="V8" s="473">
        <f t="shared" si="7"/>
        <v>0</v>
      </c>
      <c r="W8" s="474" t="str">
        <f t="shared" si="8"/>
        <v>-</v>
      </c>
      <c r="X8" s="917"/>
      <c r="Y8" s="477"/>
      <c r="Z8" s="477"/>
      <c r="AB8" s="410"/>
    </row>
    <row r="9" spans="1:31" x14ac:dyDescent="0.2">
      <c r="A9" s="258">
        <v>1180</v>
      </c>
      <c r="B9" s="35" t="s">
        <v>341</v>
      </c>
      <c r="C9" s="471"/>
      <c r="D9" s="471"/>
      <c r="E9" s="471"/>
      <c r="F9" s="471"/>
      <c r="G9" s="473">
        <f>F9-E9</f>
        <v>0</v>
      </c>
      <c r="H9" s="474" t="str">
        <f t="shared" si="2"/>
        <v>-</v>
      </c>
      <c r="I9" s="920"/>
      <c r="J9" s="471"/>
      <c r="K9" s="472"/>
      <c r="L9" s="473">
        <f t="shared" si="3"/>
        <v>0</v>
      </c>
      <c r="M9" s="474" t="str">
        <f t="shared" si="4"/>
        <v>-</v>
      </c>
      <c r="N9" s="923"/>
      <c r="O9" s="471"/>
      <c r="P9" s="471"/>
      <c r="Q9" s="473">
        <f t="shared" si="5"/>
        <v>0</v>
      </c>
      <c r="R9" s="474" t="str">
        <f t="shared" si="6"/>
        <v>-</v>
      </c>
      <c r="S9" s="913"/>
      <c r="T9" s="471"/>
      <c r="U9" s="471"/>
      <c r="V9" s="473">
        <f>U9-T9</f>
        <v>0</v>
      </c>
      <c r="W9" s="474" t="str">
        <f>IFERROR(V9/ABS(T9), "-")</f>
        <v>-</v>
      </c>
      <c r="X9" s="917"/>
      <c r="Y9" s="477"/>
      <c r="Z9" s="477"/>
    </row>
    <row r="10" spans="1:31" ht="31.5" x14ac:dyDescent="0.2">
      <c r="A10" s="258">
        <v>1190</v>
      </c>
      <c r="B10" s="35" t="s">
        <v>342</v>
      </c>
      <c r="C10" s="471"/>
      <c r="D10" s="471"/>
      <c r="E10" s="471"/>
      <c r="F10" s="471"/>
      <c r="G10" s="473">
        <f>F10-E10</f>
        <v>0</v>
      </c>
      <c r="H10" s="474" t="str">
        <f t="shared" si="2"/>
        <v>-</v>
      </c>
      <c r="I10" s="921"/>
      <c r="J10" s="471"/>
      <c r="K10" s="472"/>
      <c r="L10" s="473">
        <f t="shared" si="3"/>
        <v>0</v>
      </c>
      <c r="M10" s="474" t="str">
        <f t="shared" si="4"/>
        <v>-</v>
      </c>
      <c r="N10" s="924"/>
      <c r="O10" s="471"/>
      <c r="P10" s="471"/>
      <c r="Q10" s="473">
        <f t="shared" si="5"/>
        <v>0</v>
      </c>
      <c r="R10" s="474" t="str">
        <f t="shared" si="6"/>
        <v>-</v>
      </c>
      <c r="S10" s="925"/>
      <c r="T10" s="471"/>
      <c r="U10" s="471"/>
      <c r="V10" s="473">
        <f>U10-T10</f>
        <v>0</v>
      </c>
      <c r="W10" s="474" t="str">
        <f>IFERROR(V10/ABS(T10), "-")</f>
        <v>-</v>
      </c>
      <c r="X10" s="918"/>
      <c r="Y10" s="477"/>
      <c r="Z10" s="477"/>
      <c r="AE10" s="36" t="s">
        <v>343</v>
      </c>
    </row>
    <row r="11" spans="1:31" s="32" customFormat="1" x14ac:dyDescent="0.2">
      <c r="A11" s="157">
        <v>1200</v>
      </c>
      <c r="B11" s="44" t="s">
        <v>344</v>
      </c>
      <c r="C11" s="441">
        <f>C12+C13+C14+C15+C16+C17+C18+C19+C20</f>
        <v>13735528</v>
      </c>
      <c r="D11" s="441">
        <f>D12+D13+D14+D15+D16+D17+D18+D19+D20</f>
        <v>15884710</v>
      </c>
      <c r="E11" s="441">
        <f>E12+E13+E14+E15+E16+E17+E18+E19+E20</f>
        <v>13901742</v>
      </c>
      <c r="F11" s="441">
        <f t="shared" ref="F11" si="13">F12+F13+F14+F15+F16+F17+F18+F19+F20</f>
        <v>13627497</v>
      </c>
      <c r="G11" s="561">
        <f t="shared" si="1"/>
        <v>-274245</v>
      </c>
      <c r="H11" s="560">
        <f t="shared" si="2"/>
        <v>-1.9727383805569116E-2</v>
      </c>
      <c r="I11" s="945" t="s">
        <v>345</v>
      </c>
      <c r="J11" s="441">
        <f>J12+J13+J14+J15+J16+J17+J18+J19+J20</f>
        <v>14278442</v>
      </c>
      <c r="K11" s="441">
        <f t="shared" ref="K11" si="14">K12+K13+K14+K15+K16+K17+K18+K19+K20</f>
        <v>14291425</v>
      </c>
      <c r="L11" s="561">
        <f t="shared" si="3"/>
        <v>12983</v>
      </c>
      <c r="M11" s="560">
        <f t="shared" si="4"/>
        <v>9.092728744494673E-4</v>
      </c>
      <c r="N11" s="909" t="s">
        <v>346</v>
      </c>
      <c r="O11" s="441">
        <f t="shared" ref="O11:P11" si="15">O12+O13+O14+O15+O16+O17+O18+O19+O20</f>
        <v>15955542</v>
      </c>
      <c r="P11" s="441">
        <f t="shared" si="15"/>
        <v>14771472.880000001</v>
      </c>
      <c r="Q11" s="561">
        <f t="shared" si="5"/>
        <v>-1184069.1199999992</v>
      </c>
      <c r="R11" s="560">
        <f t="shared" si="6"/>
        <v>-7.4210523215068422E-2</v>
      </c>
      <c r="S11" s="950" t="s">
        <v>347</v>
      </c>
      <c r="T11" s="441">
        <f t="shared" ref="T11:U11" si="16">T12+T13+T14+T15+T16+T17+T18+T19+T20</f>
        <v>15884710</v>
      </c>
      <c r="U11" s="441">
        <f t="shared" si="16"/>
        <v>15538180</v>
      </c>
      <c r="V11" s="559">
        <f t="shared" si="7"/>
        <v>-346530</v>
      </c>
      <c r="W11" s="560">
        <f t="shared" si="8"/>
        <v>-2.1815318000769295E-2</v>
      </c>
      <c r="X11" s="563"/>
      <c r="Y11" s="549"/>
      <c r="Z11" s="549"/>
    </row>
    <row r="12" spans="1:31" x14ac:dyDescent="0.2">
      <c r="A12" s="258">
        <v>1210</v>
      </c>
      <c r="B12" s="470" t="s">
        <v>348</v>
      </c>
      <c r="C12" s="471">
        <v>9395003</v>
      </c>
      <c r="D12" s="471">
        <v>9459900</v>
      </c>
      <c r="E12" s="564">
        <v>9366603</v>
      </c>
      <c r="F12" s="471">
        <f>9375047-8835</f>
        <v>9366212</v>
      </c>
      <c r="G12" s="473">
        <f t="shared" si="1"/>
        <v>-391</v>
      </c>
      <c r="H12" s="474">
        <f t="shared" si="2"/>
        <v>-4.1744055982729275E-5</v>
      </c>
      <c r="I12" s="946"/>
      <c r="J12" s="471">
        <f>E12+150000-28300</f>
        <v>9488303</v>
      </c>
      <c r="K12" s="472">
        <v>9337423</v>
      </c>
      <c r="L12" s="473">
        <f t="shared" si="3"/>
        <v>-150880</v>
      </c>
      <c r="M12" s="474">
        <f t="shared" si="4"/>
        <v>-1.5901684421334352E-2</v>
      </c>
      <c r="N12" s="914"/>
      <c r="O12" s="472">
        <f>J12</f>
        <v>9488303</v>
      </c>
      <c r="P12" s="471">
        <f>9317467.32-8834.44</f>
        <v>9308632.8800000008</v>
      </c>
      <c r="Q12" s="473">
        <f t="shared" si="5"/>
        <v>-179670.11999999918</v>
      </c>
      <c r="R12" s="474">
        <f t="shared" si="6"/>
        <v>-1.8935959359645153E-2</v>
      </c>
      <c r="S12" s="951"/>
      <c r="T12" s="471">
        <f>O12-28403</f>
        <v>9459900</v>
      </c>
      <c r="U12" s="471">
        <v>9410268</v>
      </c>
      <c r="V12" s="473">
        <f t="shared" si="7"/>
        <v>-49632</v>
      </c>
      <c r="W12" s="474">
        <f t="shared" si="8"/>
        <v>-5.2465670884470237E-3</v>
      </c>
      <c r="X12" s="565"/>
      <c r="Y12" s="477"/>
      <c r="Z12" s="477"/>
    </row>
    <row r="13" spans="1:31" x14ac:dyDescent="0.2">
      <c r="A13" s="258">
        <v>1220</v>
      </c>
      <c r="B13" s="470" t="s">
        <v>349</v>
      </c>
      <c r="C13" s="471">
        <v>3163094</v>
      </c>
      <c r="D13" s="471">
        <v>4952710</v>
      </c>
      <c r="E13" s="471">
        <f>3092985+344725</f>
        <v>3437710</v>
      </c>
      <c r="F13" s="471">
        <v>3149179</v>
      </c>
      <c r="G13" s="473">
        <f t="shared" si="1"/>
        <v>-288531</v>
      </c>
      <c r="H13" s="476">
        <f t="shared" si="2"/>
        <v>-8.3931163478012979E-2</v>
      </c>
      <c r="I13" s="946"/>
      <c r="J13" s="471">
        <f>3700000+72710</f>
        <v>3772710</v>
      </c>
      <c r="K13" s="472">
        <v>3775397</v>
      </c>
      <c r="L13" s="473">
        <f t="shared" si="3"/>
        <v>2687</v>
      </c>
      <c r="M13" s="474">
        <f t="shared" si="4"/>
        <v>7.1222012823673173E-4</v>
      </c>
      <c r="N13" s="914"/>
      <c r="O13" s="472">
        <v>4957710</v>
      </c>
      <c r="P13" s="471">
        <v>4213887</v>
      </c>
      <c r="Q13" s="473">
        <f t="shared" si="5"/>
        <v>-743823</v>
      </c>
      <c r="R13" s="474">
        <f t="shared" si="6"/>
        <v>-0.15003358405392814</v>
      </c>
      <c r="S13" s="951"/>
      <c r="T13" s="472">
        <v>4952710</v>
      </c>
      <c r="U13" s="471">
        <v>4915858</v>
      </c>
      <c r="V13" s="473">
        <f t="shared" si="7"/>
        <v>-36852</v>
      </c>
      <c r="W13" s="474">
        <f t="shared" si="8"/>
        <v>-7.4407748485172762E-3</v>
      </c>
      <c r="X13" s="563"/>
      <c r="Y13" s="477"/>
      <c r="Z13" s="477"/>
    </row>
    <row r="14" spans="1:31" ht="107.25" customHeight="1" x14ac:dyDescent="0.2">
      <c r="A14" s="258">
        <v>1230</v>
      </c>
      <c r="B14" s="470" t="s">
        <v>350</v>
      </c>
      <c r="C14" s="471">
        <v>1167902</v>
      </c>
      <c r="D14" s="471">
        <v>1472100</v>
      </c>
      <c r="E14" s="471">
        <v>1087900</v>
      </c>
      <c r="F14" s="471">
        <v>1100701</v>
      </c>
      <c r="G14" s="473">
        <f t="shared" si="1"/>
        <v>12801</v>
      </c>
      <c r="H14" s="474">
        <f t="shared" si="2"/>
        <v>1.1766706498759077E-2</v>
      </c>
      <c r="I14" s="946"/>
      <c r="J14" s="471">
        <f>E14-80000</f>
        <v>1007900</v>
      </c>
      <c r="K14" s="472">
        <v>1060393</v>
      </c>
      <c r="L14" s="473">
        <f t="shared" si="3"/>
        <v>52493</v>
      </c>
      <c r="M14" s="474">
        <f t="shared" si="4"/>
        <v>5.2081555709891855E-2</v>
      </c>
      <c r="N14" s="914"/>
      <c r="O14" s="472">
        <v>1500000</v>
      </c>
      <c r="P14" s="471">
        <v>1039948</v>
      </c>
      <c r="Q14" s="473">
        <f t="shared" si="5"/>
        <v>-460052</v>
      </c>
      <c r="R14" s="474">
        <f t="shared" si="6"/>
        <v>-0.30670133333333333</v>
      </c>
      <c r="S14" s="951"/>
      <c r="T14" s="472">
        <f>O14-80000+52100</f>
        <v>1472100</v>
      </c>
      <c r="U14" s="471">
        <v>1150136</v>
      </c>
      <c r="V14" s="473">
        <f t="shared" si="7"/>
        <v>-321964</v>
      </c>
      <c r="W14" s="474">
        <f t="shared" si="8"/>
        <v>-0.21871068541539299</v>
      </c>
      <c r="X14" s="809" t="s">
        <v>351</v>
      </c>
      <c r="Y14" s="477"/>
      <c r="Z14" s="477"/>
    </row>
    <row r="15" spans="1:31" ht="70.5" customHeight="1" x14ac:dyDescent="0.2">
      <c r="A15" s="258">
        <v>1240</v>
      </c>
      <c r="B15" s="35" t="s">
        <v>352</v>
      </c>
      <c r="C15" s="471">
        <v>9529</v>
      </c>
      <c r="D15" s="471">
        <v>0</v>
      </c>
      <c r="E15" s="471">
        <v>9529</v>
      </c>
      <c r="F15" s="471">
        <v>11405</v>
      </c>
      <c r="G15" s="473">
        <f t="shared" si="1"/>
        <v>1876</v>
      </c>
      <c r="H15" s="474">
        <f t="shared" si="2"/>
        <v>0.19687270437611501</v>
      </c>
      <c r="I15" s="946"/>
      <c r="J15" s="471">
        <v>9529</v>
      </c>
      <c r="K15" s="472">
        <v>118212</v>
      </c>
      <c r="L15" s="473">
        <f t="shared" si="3"/>
        <v>108683</v>
      </c>
      <c r="M15" s="474">
        <f t="shared" si="4"/>
        <v>11.405499003043341</v>
      </c>
      <c r="N15" s="914"/>
      <c r="O15" s="472">
        <v>9529</v>
      </c>
      <c r="P15" s="471">
        <v>209005</v>
      </c>
      <c r="Q15" s="473">
        <f t="shared" si="5"/>
        <v>199476</v>
      </c>
      <c r="R15" s="474">
        <f t="shared" si="6"/>
        <v>20.933571203693987</v>
      </c>
      <c r="S15" s="951"/>
      <c r="T15" s="472">
        <v>0</v>
      </c>
      <c r="U15" s="471">
        <v>61918</v>
      </c>
      <c r="V15" s="473">
        <f t="shared" si="7"/>
        <v>61918</v>
      </c>
      <c r="W15" s="474" t="str">
        <f t="shared" si="8"/>
        <v>-</v>
      </c>
      <c r="X15" s="809" t="s">
        <v>353</v>
      </c>
      <c r="Y15" s="477"/>
      <c r="Z15" s="477"/>
    </row>
    <row r="16" spans="1:31" x14ac:dyDescent="0.2">
      <c r="A16" s="258">
        <v>1250</v>
      </c>
      <c r="B16" s="35" t="s">
        <v>354</v>
      </c>
      <c r="C16" s="471"/>
      <c r="D16" s="471"/>
      <c r="E16" s="471"/>
      <c r="F16" s="471"/>
      <c r="G16" s="473">
        <f t="shared" si="1"/>
        <v>0</v>
      </c>
      <c r="H16" s="474" t="str">
        <f t="shared" si="2"/>
        <v>-</v>
      </c>
      <c r="I16" s="946"/>
      <c r="J16" s="471"/>
      <c r="K16" s="472"/>
      <c r="L16" s="473">
        <f t="shared" si="3"/>
        <v>0</v>
      </c>
      <c r="M16" s="474" t="str">
        <f t="shared" si="4"/>
        <v>-</v>
      </c>
      <c r="N16" s="914"/>
      <c r="O16" s="471"/>
      <c r="P16" s="471"/>
      <c r="Q16" s="473">
        <f t="shared" si="5"/>
        <v>0</v>
      </c>
      <c r="R16" s="474" t="str">
        <f t="shared" si="6"/>
        <v>-</v>
      </c>
      <c r="S16" s="951"/>
      <c r="T16" s="471"/>
      <c r="U16" s="471"/>
      <c r="V16" s="473">
        <f t="shared" si="7"/>
        <v>0</v>
      </c>
      <c r="W16" s="474" t="str">
        <f t="shared" si="8"/>
        <v>-</v>
      </c>
      <c r="X16" s="563"/>
      <c r="Y16" s="477"/>
      <c r="Z16" s="477"/>
    </row>
    <row r="17" spans="1:26" x14ac:dyDescent="0.2">
      <c r="A17" s="258">
        <v>1260</v>
      </c>
      <c r="B17" s="35" t="s">
        <v>355</v>
      </c>
      <c r="C17" s="471"/>
      <c r="D17" s="471"/>
      <c r="E17" s="471"/>
      <c r="F17" s="471"/>
      <c r="G17" s="473">
        <f t="shared" si="1"/>
        <v>0</v>
      </c>
      <c r="H17" s="474" t="str">
        <f t="shared" si="2"/>
        <v>-</v>
      </c>
      <c r="I17" s="946"/>
      <c r="J17" s="471"/>
      <c r="K17" s="472"/>
      <c r="L17" s="473">
        <f t="shared" si="3"/>
        <v>0</v>
      </c>
      <c r="M17" s="474" t="str">
        <f t="shared" si="4"/>
        <v>-</v>
      </c>
      <c r="N17" s="914"/>
      <c r="O17" s="471"/>
      <c r="P17" s="471"/>
      <c r="Q17" s="473">
        <f t="shared" si="5"/>
        <v>0</v>
      </c>
      <c r="R17" s="474" t="str">
        <f t="shared" si="6"/>
        <v>-</v>
      </c>
      <c r="S17" s="951"/>
      <c r="T17" s="471"/>
      <c r="U17" s="471"/>
      <c r="V17" s="473">
        <f t="shared" si="7"/>
        <v>0</v>
      </c>
      <c r="W17" s="474" t="str">
        <f t="shared" si="8"/>
        <v>-</v>
      </c>
      <c r="X17" s="563"/>
      <c r="Y17" s="477"/>
      <c r="Z17" s="566"/>
    </row>
    <row r="18" spans="1:26" ht="28.5" customHeight="1" x14ac:dyDescent="0.2">
      <c r="A18" s="258">
        <v>1270</v>
      </c>
      <c r="B18" s="35" t="s">
        <v>356</v>
      </c>
      <c r="C18" s="471"/>
      <c r="D18" s="471"/>
      <c r="E18" s="471"/>
      <c r="F18" s="471"/>
      <c r="G18" s="473">
        <f t="shared" si="1"/>
        <v>0</v>
      </c>
      <c r="H18" s="474" t="str">
        <f t="shared" si="2"/>
        <v>-</v>
      </c>
      <c r="I18" s="946"/>
      <c r="J18" s="471"/>
      <c r="K18" s="472"/>
      <c r="L18" s="473">
        <f t="shared" si="3"/>
        <v>0</v>
      </c>
      <c r="M18" s="474" t="str">
        <f t="shared" si="4"/>
        <v>-</v>
      </c>
      <c r="N18" s="914"/>
      <c r="O18" s="471"/>
      <c r="P18" s="471"/>
      <c r="Q18" s="473">
        <f t="shared" si="5"/>
        <v>0</v>
      </c>
      <c r="R18" s="474" t="str">
        <f t="shared" si="6"/>
        <v>-</v>
      </c>
      <c r="S18" s="951"/>
      <c r="T18" s="471"/>
      <c r="U18" s="471"/>
      <c r="V18" s="473">
        <f t="shared" si="7"/>
        <v>0</v>
      </c>
      <c r="W18" s="474" t="str">
        <f t="shared" si="8"/>
        <v>-</v>
      </c>
      <c r="X18" s="563"/>
      <c r="Y18" s="477"/>
      <c r="Z18" s="566"/>
    </row>
    <row r="19" spans="1:26" x14ac:dyDescent="0.2">
      <c r="A19" s="258">
        <v>1280</v>
      </c>
      <c r="B19" s="35" t="s">
        <v>357</v>
      </c>
      <c r="C19" s="471"/>
      <c r="D19" s="471"/>
      <c r="E19" s="471"/>
      <c r="F19" s="471"/>
      <c r="G19" s="473">
        <f t="shared" si="1"/>
        <v>0</v>
      </c>
      <c r="H19" s="474" t="str">
        <f t="shared" si="2"/>
        <v>-</v>
      </c>
      <c r="I19" s="946"/>
      <c r="J19" s="471"/>
      <c r="K19" s="472"/>
      <c r="L19" s="473">
        <f t="shared" si="3"/>
        <v>0</v>
      </c>
      <c r="M19" s="474" t="str">
        <f t="shared" si="4"/>
        <v>-</v>
      </c>
      <c r="N19" s="914"/>
      <c r="O19" s="471"/>
      <c r="P19" s="471"/>
      <c r="Q19" s="473">
        <f t="shared" si="5"/>
        <v>0</v>
      </c>
      <c r="R19" s="474" t="str">
        <f t="shared" si="6"/>
        <v>-</v>
      </c>
      <c r="S19" s="951"/>
      <c r="T19" s="471"/>
      <c r="U19" s="471"/>
      <c r="V19" s="473">
        <f t="shared" si="7"/>
        <v>0</v>
      </c>
      <c r="W19" s="474" t="str">
        <f t="shared" si="8"/>
        <v>-</v>
      </c>
      <c r="X19" s="563"/>
      <c r="Y19" s="477"/>
      <c r="Z19" s="566"/>
    </row>
    <row r="20" spans="1:26" ht="31.5" customHeight="1" x14ac:dyDescent="0.2">
      <c r="A20" s="258">
        <v>1290</v>
      </c>
      <c r="B20" s="35" t="s">
        <v>358</v>
      </c>
      <c r="C20" s="471"/>
      <c r="D20" s="471"/>
      <c r="E20" s="471"/>
      <c r="F20" s="471"/>
      <c r="G20" s="473">
        <f t="shared" si="1"/>
        <v>0</v>
      </c>
      <c r="H20" s="474" t="str">
        <f t="shared" si="2"/>
        <v>-</v>
      </c>
      <c r="I20" s="946"/>
      <c r="J20" s="471"/>
      <c r="K20" s="472"/>
      <c r="L20" s="473">
        <f t="shared" si="3"/>
        <v>0</v>
      </c>
      <c r="M20" s="474" t="str">
        <f t="shared" si="4"/>
        <v>-</v>
      </c>
      <c r="N20" s="914"/>
      <c r="O20" s="471"/>
      <c r="P20" s="471"/>
      <c r="Q20" s="473">
        <f t="shared" si="5"/>
        <v>0</v>
      </c>
      <c r="R20" s="474" t="str">
        <f t="shared" si="6"/>
        <v>-</v>
      </c>
      <c r="S20" s="951"/>
      <c r="T20" s="471"/>
      <c r="U20" s="471"/>
      <c r="V20" s="473">
        <f t="shared" si="7"/>
        <v>0</v>
      </c>
      <c r="W20" s="474" t="str">
        <f t="shared" si="8"/>
        <v>-</v>
      </c>
      <c r="X20" s="563"/>
      <c r="Y20" s="477"/>
      <c r="Z20" s="566"/>
    </row>
    <row r="21" spans="1:26" s="299" customFormat="1" ht="15.6" customHeight="1" x14ac:dyDescent="0.2">
      <c r="A21" s="157">
        <v>1300</v>
      </c>
      <c r="B21" s="44" t="s">
        <v>359</v>
      </c>
      <c r="C21" s="441">
        <v>0</v>
      </c>
      <c r="D21" s="441">
        <v>0</v>
      </c>
      <c r="E21" s="441">
        <v>0</v>
      </c>
      <c r="F21" s="441">
        <v>0</v>
      </c>
      <c r="G21" s="559">
        <v>0</v>
      </c>
      <c r="H21" s="567" t="str">
        <f t="shared" si="2"/>
        <v>-</v>
      </c>
      <c r="I21" s="946"/>
      <c r="J21" s="568">
        <v>0</v>
      </c>
      <c r="K21" s="441">
        <v>0</v>
      </c>
      <c r="L21" s="559">
        <v>0</v>
      </c>
      <c r="M21" s="560" t="str">
        <f t="shared" si="4"/>
        <v>-</v>
      </c>
      <c r="N21" s="569"/>
      <c r="O21" s="441">
        <v>0</v>
      </c>
      <c r="P21" s="441">
        <v>0</v>
      </c>
      <c r="Q21" s="559">
        <f>P21-O21</f>
        <v>0</v>
      </c>
      <c r="R21" s="560" t="str">
        <f t="shared" si="6"/>
        <v>-</v>
      </c>
      <c r="S21" s="569"/>
      <c r="T21" s="441">
        <v>0</v>
      </c>
      <c r="U21" s="441">
        <v>0</v>
      </c>
      <c r="V21" s="559">
        <f t="shared" si="7"/>
        <v>0</v>
      </c>
      <c r="W21" s="560" t="str">
        <f t="shared" si="8"/>
        <v>-</v>
      </c>
      <c r="X21" s="570"/>
      <c r="Y21" s="571"/>
      <c r="Z21" s="572"/>
    </row>
    <row r="22" spans="1:26" s="300" customFormat="1" ht="15.95" customHeight="1" x14ac:dyDescent="0.2">
      <c r="A22" s="99">
        <v>1400</v>
      </c>
      <c r="B22" s="44" t="s">
        <v>360</v>
      </c>
      <c r="C22" s="573">
        <v>0</v>
      </c>
      <c r="D22" s="573">
        <v>0</v>
      </c>
      <c r="E22" s="573">
        <v>0</v>
      </c>
      <c r="F22" s="573">
        <v>0</v>
      </c>
      <c r="G22" s="561">
        <f t="shared" ref="G22:G47" si="17">F22-E22</f>
        <v>0</v>
      </c>
      <c r="H22" s="567" t="str">
        <f t="shared" si="2"/>
        <v>-</v>
      </c>
      <c r="I22" s="946"/>
      <c r="J22" s="574">
        <v>0</v>
      </c>
      <c r="K22" s="573">
        <v>0</v>
      </c>
      <c r="L22" s="559">
        <v>0</v>
      </c>
      <c r="M22" s="560" t="str">
        <f t="shared" si="4"/>
        <v>-</v>
      </c>
      <c r="N22" s="569"/>
      <c r="O22" s="573">
        <v>0</v>
      </c>
      <c r="P22" s="573">
        <v>0</v>
      </c>
      <c r="Q22" s="559">
        <f t="shared" ref="Q22:Q44" si="18">P22-O22</f>
        <v>0</v>
      </c>
      <c r="R22" s="560" t="str">
        <f t="shared" si="6"/>
        <v>-</v>
      </c>
      <c r="S22" s="570"/>
      <c r="T22" s="573">
        <v>0</v>
      </c>
      <c r="U22" s="573">
        <v>0</v>
      </c>
      <c r="V22" s="559">
        <f t="shared" si="7"/>
        <v>0</v>
      </c>
      <c r="W22" s="560" t="str">
        <f t="shared" si="8"/>
        <v>-</v>
      </c>
      <c r="X22" s="570"/>
      <c r="Y22" s="575"/>
      <c r="Z22" s="576"/>
    </row>
    <row r="23" spans="1:26" s="300" customFormat="1" ht="15.95" customHeight="1" x14ac:dyDescent="0.2">
      <c r="A23" s="99">
        <v>1500</v>
      </c>
      <c r="B23" s="44" t="s">
        <v>361</v>
      </c>
      <c r="C23" s="573">
        <v>0</v>
      </c>
      <c r="D23" s="573">
        <v>0</v>
      </c>
      <c r="E23" s="573">
        <v>0</v>
      </c>
      <c r="F23" s="573">
        <v>0</v>
      </c>
      <c r="G23" s="561">
        <f t="shared" si="17"/>
        <v>0</v>
      </c>
      <c r="H23" s="560" t="str">
        <f t="shared" si="2"/>
        <v>-</v>
      </c>
      <c r="I23" s="946"/>
      <c r="J23" s="573">
        <v>0</v>
      </c>
      <c r="K23" s="573">
        <v>0</v>
      </c>
      <c r="L23" s="559">
        <v>0</v>
      </c>
      <c r="M23" s="560" t="str">
        <f t="shared" si="4"/>
        <v>-</v>
      </c>
      <c r="N23" s="577"/>
      <c r="O23" s="573">
        <v>0</v>
      </c>
      <c r="P23" s="573">
        <v>0</v>
      </c>
      <c r="Q23" s="559">
        <f t="shared" si="18"/>
        <v>0</v>
      </c>
      <c r="R23" s="560" t="str">
        <f t="shared" si="6"/>
        <v>-</v>
      </c>
      <c r="S23" s="570"/>
      <c r="T23" s="573">
        <v>0</v>
      </c>
      <c r="U23" s="573">
        <v>0</v>
      </c>
      <c r="V23" s="559">
        <f t="shared" si="7"/>
        <v>0</v>
      </c>
      <c r="W23" s="560" t="str">
        <f t="shared" si="8"/>
        <v>-</v>
      </c>
      <c r="X23" s="570"/>
      <c r="Y23" s="575"/>
      <c r="Z23" s="576"/>
    </row>
    <row r="24" spans="1:26" s="300" customFormat="1" ht="31.5" customHeight="1" x14ac:dyDescent="0.2">
      <c r="A24" s="99">
        <v>1600</v>
      </c>
      <c r="B24" s="44" t="s">
        <v>362</v>
      </c>
      <c r="C24" s="573">
        <v>0</v>
      </c>
      <c r="D24" s="573">
        <v>0</v>
      </c>
      <c r="E24" s="573">
        <v>0</v>
      </c>
      <c r="F24" s="573">
        <v>0</v>
      </c>
      <c r="G24" s="561">
        <f t="shared" si="17"/>
        <v>0</v>
      </c>
      <c r="H24" s="560" t="str">
        <f t="shared" si="2"/>
        <v>-</v>
      </c>
      <c r="I24" s="946"/>
      <c r="J24" s="573">
        <v>0</v>
      </c>
      <c r="K24" s="573">
        <v>0</v>
      </c>
      <c r="L24" s="559">
        <v>0</v>
      </c>
      <c r="M24" s="560" t="str">
        <f t="shared" si="4"/>
        <v>-</v>
      </c>
      <c r="N24" s="577"/>
      <c r="O24" s="573">
        <v>0</v>
      </c>
      <c r="P24" s="573">
        <v>0</v>
      </c>
      <c r="Q24" s="559">
        <f t="shared" si="18"/>
        <v>0</v>
      </c>
      <c r="R24" s="560" t="str">
        <f t="shared" si="6"/>
        <v>-</v>
      </c>
      <c r="S24" s="570"/>
      <c r="T24" s="573">
        <v>0</v>
      </c>
      <c r="U24" s="573">
        <v>0</v>
      </c>
      <c r="V24" s="559">
        <f t="shared" si="7"/>
        <v>0</v>
      </c>
      <c r="W24" s="560" t="str">
        <f t="shared" si="8"/>
        <v>-</v>
      </c>
      <c r="X24" s="570"/>
      <c r="Y24" s="575"/>
      <c r="Z24" s="575"/>
    </row>
    <row r="25" spans="1:26" s="32" customFormat="1" x14ac:dyDescent="0.2">
      <c r="A25" s="301">
        <v>2000</v>
      </c>
      <c r="B25" s="543" t="s">
        <v>363</v>
      </c>
      <c r="C25" s="545">
        <f>C26+C36+C44+C45+C46</f>
        <v>4271806</v>
      </c>
      <c r="D25" s="545">
        <f>D26+D36+D44+D46</f>
        <v>3055172</v>
      </c>
      <c r="E25" s="545">
        <f>E26+E36+E44+E46</f>
        <v>3746497</v>
      </c>
      <c r="F25" s="545">
        <f>F26+F36+F44+F45+F46</f>
        <v>3798588</v>
      </c>
      <c r="G25" s="551">
        <f t="shared" si="17"/>
        <v>52091</v>
      </c>
      <c r="H25" s="552">
        <f t="shared" si="2"/>
        <v>1.3903921449823662E-2</v>
      </c>
      <c r="I25" s="946"/>
      <c r="J25" s="545">
        <f>J26+J36+J44+J46</f>
        <v>3058672</v>
      </c>
      <c r="K25" s="545">
        <f>K26+K36+K44+K46</f>
        <v>3533254</v>
      </c>
      <c r="L25" s="551">
        <f t="shared" ref="L25:L47" si="19">K25-J25</f>
        <v>474582</v>
      </c>
      <c r="M25" s="552">
        <f t="shared" si="4"/>
        <v>0.15515949405493626</v>
      </c>
      <c r="N25" s="554"/>
      <c r="O25" s="545">
        <f>O26+O36+O44+O46</f>
        <v>3053567</v>
      </c>
      <c r="P25" s="545">
        <f>P26+P36+P44+P46</f>
        <v>3610925</v>
      </c>
      <c r="Q25" s="551">
        <f t="shared" si="18"/>
        <v>557358</v>
      </c>
      <c r="R25" s="552">
        <f t="shared" si="6"/>
        <v>0.18252686120854725</v>
      </c>
      <c r="S25" s="553"/>
      <c r="T25" s="545">
        <f>T26+T36+T44+T46</f>
        <v>3055172</v>
      </c>
      <c r="U25" s="555">
        <f>U26+U36+U44+U46</f>
        <v>4863081</v>
      </c>
      <c r="V25" s="556">
        <f t="shared" si="7"/>
        <v>1807909</v>
      </c>
      <c r="W25" s="557">
        <f t="shared" si="8"/>
        <v>0.59175359030522667</v>
      </c>
      <c r="X25" s="558"/>
      <c r="Y25" s="549"/>
      <c r="Z25" s="549"/>
    </row>
    <row r="26" spans="1:26" s="32" customFormat="1" x14ac:dyDescent="0.2">
      <c r="A26" s="157">
        <v>2100</v>
      </c>
      <c r="B26" s="44" t="s">
        <v>364</v>
      </c>
      <c r="C26" s="441">
        <f>SUM(C27:C35)</f>
        <v>642346</v>
      </c>
      <c r="D26" s="441">
        <f t="shared" ref="D26:E26" si="20">SUM(D27:D35)</f>
        <v>531300</v>
      </c>
      <c r="E26" s="441">
        <f t="shared" si="20"/>
        <v>662000</v>
      </c>
      <c r="F26" s="441">
        <f t="shared" ref="F26" si="21">SUM(F27:F34)</f>
        <v>607007</v>
      </c>
      <c r="G26" s="559">
        <f t="shared" si="17"/>
        <v>-54993</v>
      </c>
      <c r="H26" s="560">
        <f t="shared" si="2"/>
        <v>-8.3070996978851966E-2</v>
      </c>
      <c r="I26" s="947" t="s">
        <v>365</v>
      </c>
      <c r="J26" s="441">
        <f>SUM(J27:J35)</f>
        <v>683800</v>
      </c>
      <c r="K26" s="441">
        <f>SUM(K27:K35)</f>
        <v>614029</v>
      </c>
      <c r="L26" s="559">
        <f t="shared" si="19"/>
        <v>-69771</v>
      </c>
      <c r="M26" s="560">
        <f t="shared" si="4"/>
        <v>-0.10203422053231939</v>
      </c>
      <c r="N26" s="909" t="s">
        <v>366</v>
      </c>
      <c r="O26" s="441">
        <f>SUM(O27:O35)</f>
        <v>509695</v>
      </c>
      <c r="P26" s="441">
        <f>SUM(P27:P35)</f>
        <v>677202</v>
      </c>
      <c r="Q26" s="559">
        <f t="shared" si="18"/>
        <v>167507</v>
      </c>
      <c r="R26" s="560">
        <f t="shared" si="6"/>
        <v>0.32864163862702206</v>
      </c>
      <c r="S26" s="909" t="s">
        <v>367</v>
      </c>
      <c r="T26" s="441">
        <f>SUM(T27:T35)</f>
        <v>531300</v>
      </c>
      <c r="U26" s="441">
        <f>SUM(U27:U35)</f>
        <v>846102</v>
      </c>
      <c r="V26" s="559">
        <f t="shared" si="7"/>
        <v>314802</v>
      </c>
      <c r="W26" s="560">
        <f t="shared" si="8"/>
        <v>0.59251270468661776</v>
      </c>
      <c r="X26" s="909" t="s">
        <v>368</v>
      </c>
      <c r="Y26" s="549"/>
      <c r="Z26" s="549"/>
    </row>
    <row r="27" spans="1:26" x14ac:dyDescent="0.2">
      <c r="A27" s="258">
        <v>2110</v>
      </c>
      <c r="B27" s="35" t="s">
        <v>369</v>
      </c>
      <c r="C27" s="471">
        <v>641144</v>
      </c>
      <c r="D27" s="471">
        <v>530000</v>
      </c>
      <c r="E27" s="471">
        <v>660000</v>
      </c>
      <c r="F27" s="472">
        <f>774954-169488</f>
        <v>605466</v>
      </c>
      <c r="G27" s="473">
        <f t="shared" si="17"/>
        <v>-54534</v>
      </c>
      <c r="H27" s="474">
        <f t="shared" si="2"/>
        <v>-8.262727272727273E-2</v>
      </c>
      <c r="I27" s="948"/>
      <c r="J27" s="471">
        <v>682000</v>
      </c>
      <c r="K27" s="472">
        <v>612659</v>
      </c>
      <c r="L27" s="473">
        <f t="shared" si="19"/>
        <v>-69341</v>
      </c>
      <c r="M27" s="474">
        <f t="shared" si="4"/>
        <v>-0.10167302052785923</v>
      </c>
      <c r="N27" s="914"/>
      <c r="O27" s="471">
        <f>700000-100000-91805</f>
        <v>508195</v>
      </c>
      <c r="P27" s="471">
        <v>674443</v>
      </c>
      <c r="Q27" s="473">
        <f t="shared" si="18"/>
        <v>166248</v>
      </c>
      <c r="R27" s="474">
        <f t="shared" si="6"/>
        <v>0.32713426932575096</v>
      </c>
      <c r="S27" s="914"/>
      <c r="T27" s="471">
        <v>530000</v>
      </c>
      <c r="U27" s="471">
        <v>844975</v>
      </c>
      <c r="V27" s="473">
        <f t="shared" si="7"/>
        <v>314975</v>
      </c>
      <c r="W27" s="474">
        <f t="shared" si="8"/>
        <v>0.59429245283018872</v>
      </c>
      <c r="X27" s="914"/>
      <c r="Y27" s="477"/>
      <c r="Z27" s="477"/>
    </row>
    <row r="28" spans="1:26" x14ac:dyDescent="0.2">
      <c r="A28" s="258">
        <v>2120</v>
      </c>
      <c r="B28" s="35" t="s">
        <v>370</v>
      </c>
      <c r="C28" s="471"/>
      <c r="D28" s="471"/>
      <c r="E28" s="471"/>
      <c r="F28" s="471"/>
      <c r="G28" s="473">
        <f t="shared" si="17"/>
        <v>0</v>
      </c>
      <c r="H28" s="474" t="str">
        <f t="shared" si="2"/>
        <v>-</v>
      </c>
      <c r="I28" s="948"/>
      <c r="J28" s="471"/>
      <c r="K28" s="472"/>
      <c r="L28" s="473">
        <f t="shared" si="19"/>
        <v>0</v>
      </c>
      <c r="M28" s="474" t="str">
        <f t="shared" si="4"/>
        <v>-</v>
      </c>
      <c r="N28" s="914"/>
      <c r="O28" s="471"/>
      <c r="P28" s="471"/>
      <c r="Q28" s="473">
        <f t="shared" si="18"/>
        <v>0</v>
      </c>
      <c r="R28" s="474" t="str">
        <f t="shared" si="6"/>
        <v>-</v>
      </c>
      <c r="S28" s="914"/>
      <c r="T28" s="471"/>
      <c r="U28" s="471"/>
      <c r="V28" s="473">
        <f t="shared" si="7"/>
        <v>0</v>
      </c>
      <c r="W28" s="474" t="str">
        <f t="shared" si="8"/>
        <v>-</v>
      </c>
      <c r="X28" s="914"/>
      <c r="Y28" s="477"/>
      <c r="Z28" s="477"/>
    </row>
    <row r="29" spans="1:26" x14ac:dyDescent="0.2">
      <c r="A29" s="258">
        <v>2130</v>
      </c>
      <c r="B29" s="35" t="s">
        <v>371</v>
      </c>
      <c r="C29" s="471"/>
      <c r="D29" s="471"/>
      <c r="E29" s="471"/>
      <c r="F29" s="471"/>
      <c r="G29" s="473">
        <f t="shared" si="17"/>
        <v>0</v>
      </c>
      <c r="H29" s="474" t="str">
        <f t="shared" si="2"/>
        <v>-</v>
      </c>
      <c r="I29" s="948"/>
      <c r="J29" s="471"/>
      <c r="K29" s="472"/>
      <c r="L29" s="473">
        <f t="shared" si="19"/>
        <v>0</v>
      </c>
      <c r="M29" s="474" t="str">
        <f t="shared" si="4"/>
        <v>-</v>
      </c>
      <c r="N29" s="914"/>
      <c r="O29" s="471"/>
      <c r="P29" s="471"/>
      <c r="Q29" s="473">
        <f t="shared" si="18"/>
        <v>0</v>
      </c>
      <c r="R29" s="474" t="str">
        <f t="shared" si="6"/>
        <v>-</v>
      </c>
      <c r="S29" s="914"/>
      <c r="T29" s="471"/>
      <c r="U29" s="471"/>
      <c r="V29" s="473">
        <f t="shared" si="7"/>
        <v>0</v>
      </c>
      <c r="W29" s="474" t="str">
        <f t="shared" si="8"/>
        <v>-</v>
      </c>
      <c r="X29" s="914"/>
      <c r="Y29" s="477"/>
      <c r="Z29" s="477"/>
    </row>
    <row r="30" spans="1:26" ht="15.6" customHeight="1" x14ac:dyDescent="0.2">
      <c r="A30" s="258">
        <v>2140</v>
      </c>
      <c r="B30" s="298" t="s">
        <v>372</v>
      </c>
      <c r="C30" s="471"/>
      <c r="D30" s="471"/>
      <c r="E30" s="471"/>
      <c r="F30" s="471"/>
      <c r="G30" s="473">
        <f t="shared" si="17"/>
        <v>0</v>
      </c>
      <c r="H30" s="474" t="str">
        <f t="shared" si="2"/>
        <v>-</v>
      </c>
      <c r="I30" s="948"/>
      <c r="J30" s="471"/>
      <c r="K30" s="472"/>
      <c r="L30" s="473">
        <f t="shared" si="19"/>
        <v>0</v>
      </c>
      <c r="M30" s="474" t="str">
        <f t="shared" si="4"/>
        <v>-</v>
      </c>
      <c r="N30" s="914"/>
      <c r="O30" s="471"/>
      <c r="P30" s="471"/>
      <c r="Q30" s="473">
        <f t="shared" si="18"/>
        <v>0</v>
      </c>
      <c r="R30" s="474" t="str">
        <f t="shared" si="6"/>
        <v>-</v>
      </c>
      <c r="S30" s="914"/>
      <c r="T30" s="471"/>
      <c r="U30" s="471"/>
      <c r="V30" s="473">
        <f t="shared" si="7"/>
        <v>0</v>
      </c>
      <c r="W30" s="474" t="str">
        <f t="shared" si="8"/>
        <v>-</v>
      </c>
      <c r="X30" s="914"/>
      <c r="Y30" s="477"/>
      <c r="Z30" s="477"/>
    </row>
    <row r="31" spans="1:26" ht="15.6" customHeight="1" x14ac:dyDescent="0.2">
      <c r="A31" s="258">
        <v>2150</v>
      </c>
      <c r="B31" s="298" t="s">
        <v>373</v>
      </c>
      <c r="C31" s="471"/>
      <c r="D31" s="471"/>
      <c r="E31" s="471"/>
      <c r="F31" s="471"/>
      <c r="G31" s="473">
        <f t="shared" si="17"/>
        <v>0</v>
      </c>
      <c r="H31" s="474" t="str">
        <f t="shared" si="2"/>
        <v>-</v>
      </c>
      <c r="I31" s="948"/>
      <c r="J31" s="471"/>
      <c r="K31" s="472"/>
      <c r="L31" s="473">
        <f t="shared" si="19"/>
        <v>0</v>
      </c>
      <c r="M31" s="474" t="str">
        <f t="shared" si="4"/>
        <v>-</v>
      </c>
      <c r="N31" s="914"/>
      <c r="O31" s="471"/>
      <c r="P31" s="471"/>
      <c r="Q31" s="473">
        <f t="shared" si="18"/>
        <v>0</v>
      </c>
      <c r="R31" s="474" t="str">
        <f t="shared" si="6"/>
        <v>-</v>
      </c>
      <c r="S31" s="914"/>
      <c r="T31" s="471"/>
      <c r="U31" s="471"/>
      <c r="V31" s="473">
        <f t="shared" si="7"/>
        <v>0</v>
      </c>
      <c r="W31" s="474" t="str">
        <f t="shared" si="8"/>
        <v>-</v>
      </c>
      <c r="X31" s="914"/>
      <c r="Y31" s="477"/>
      <c r="Z31" s="477"/>
    </row>
    <row r="32" spans="1:26" ht="15.6" customHeight="1" x14ac:dyDescent="0.2">
      <c r="A32" s="258">
        <v>2160</v>
      </c>
      <c r="B32" s="298" t="s">
        <v>186</v>
      </c>
      <c r="C32" s="471"/>
      <c r="D32" s="471"/>
      <c r="E32" s="471"/>
      <c r="F32" s="471"/>
      <c r="G32" s="473">
        <f t="shared" si="17"/>
        <v>0</v>
      </c>
      <c r="H32" s="474" t="str">
        <f t="shared" si="2"/>
        <v>-</v>
      </c>
      <c r="I32" s="948"/>
      <c r="J32" s="471"/>
      <c r="K32" s="472"/>
      <c r="L32" s="473">
        <f t="shared" si="19"/>
        <v>0</v>
      </c>
      <c r="M32" s="474" t="str">
        <f t="shared" si="4"/>
        <v>-</v>
      </c>
      <c r="N32" s="914"/>
      <c r="O32" s="471"/>
      <c r="P32" s="471"/>
      <c r="Q32" s="473">
        <f t="shared" si="18"/>
        <v>0</v>
      </c>
      <c r="R32" s="474" t="str">
        <f t="shared" si="6"/>
        <v>-</v>
      </c>
      <c r="S32" s="914"/>
      <c r="T32" s="471"/>
      <c r="U32" s="471"/>
      <c r="V32" s="473">
        <f t="shared" si="7"/>
        <v>0</v>
      </c>
      <c r="W32" s="474" t="str">
        <f t="shared" si="8"/>
        <v>-</v>
      </c>
      <c r="X32" s="914"/>
      <c r="Y32" s="477"/>
      <c r="Z32" s="477"/>
    </row>
    <row r="33" spans="1:26" ht="30.95" customHeight="1" x14ac:dyDescent="0.2">
      <c r="A33" s="258">
        <v>2170</v>
      </c>
      <c r="B33" s="298" t="s">
        <v>374</v>
      </c>
      <c r="C33" s="471"/>
      <c r="D33" s="471"/>
      <c r="E33" s="471"/>
      <c r="F33" s="471"/>
      <c r="G33" s="473">
        <f t="shared" si="17"/>
        <v>0</v>
      </c>
      <c r="H33" s="474" t="str">
        <f t="shared" si="2"/>
        <v>-</v>
      </c>
      <c r="I33" s="948"/>
      <c r="J33" s="471"/>
      <c r="K33" s="472"/>
      <c r="L33" s="473">
        <f t="shared" si="19"/>
        <v>0</v>
      </c>
      <c r="M33" s="474" t="str">
        <f t="shared" si="4"/>
        <v>-</v>
      </c>
      <c r="N33" s="914"/>
      <c r="O33" s="471"/>
      <c r="P33" s="471"/>
      <c r="Q33" s="473">
        <f t="shared" si="18"/>
        <v>0</v>
      </c>
      <c r="R33" s="474" t="str">
        <f t="shared" si="6"/>
        <v>-</v>
      </c>
      <c r="S33" s="914"/>
      <c r="T33" s="471"/>
      <c r="U33" s="471"/>
      <c r="V33" s="473">
        <f t="shared" si="7"/>
        <v>0</v>
      </c>
      <c r="W33" s="474" t="str">
        <f t="shared" si="8"/>
        <v>-</v>
      </c>
      <c r="X33" s="914"/>
      <c r="Y33" s="477"/>
      <c r="Z33" s="477"/>
    </row>
    <row r="34" spans="1:26" ht="31.5" x14ac:dyDescent="0.2">
      <c r="A34" s="258">
        <v>2180</v>
      </c>
      <c r="B34" s="35" t="s">
        <v>375</v>
      </c>
      <c r="C34" s="471">
        <v>1202</v>
      </c>
      <c r="D34" s="471">
        <v>1300</v>
      </c>
      <c r="E34" s="471">
        <v>2000</v>
      </c>
      <c r="F34" s="471">
        <v>1541</v>
      </c>
      <c r="G34" s="473">
        <f t="shared" si="17"/>
        <v>-459</v>
      </c>
      <c r="H34" s="474">
        <f t="shared" si="2"/>
        <v>-0.22950000000000001</v>
      </c>
      <c r="I34" s="948"/>
      <c r="J34" s="471">
        <v>1800</v>
      </c>
      <c r="K34" s="472">
        <v>1370</v>
      </c>
      <c r="L34" s="473">
        <f t="shared" si="19"/>
        <v>-430</v>
      </c>
      <c r="M34" s="474">
        <f t="shared" si="4"/>
        <v>-0.2388888888888889</v>
      </c>
      <c r="N34" s="914"/>
      <c r="O34" s="471">
        <v>1500</v>
      </c>
      <c r="P34" s="471">
        <v>2759</v>
      </c>
      <c r="Q34" s="473">
        <f t="shared" si="18"/>
        <v>1259</v>
      </c>
      <c r="R34" s="474">
        <f t="shared" si="6"/>
        <v>0.83933333333333338</v>
      </c>
      <c r="S34" s="914"/>
      <c r="T34" s="471">
        <v>1300</v>
      </c>
      <c r="U34" s="471">
        <v>1127</v>
      </c>
      <c r="V34" s="473">
        <f t="shared" si="7"/>
        <v>-173</v>
      </c>
      <c r="W34" s="474">
        <f t="shared" si="8"/>
        <v>-0.13307692307692306</v>
      </c>
      <c r="X34" s="914"/>
      <c r="Y34" s="477"/>
      <c r="Z34" s="477"/>
    </row>
    <row r="35" spans="1:26" x14ac:dyDescent="0.2">
      <c r="A35" s="258">
        <v>2190</v>
      </c>
      <c r="B35" s="35" t="s">
        <v>376</v>
      </c>
      <c r="C35" s="471"/>
      <c r="D35" s="471"/>
      <c r="E35" s="471"/>
      <c r="F35" s="471"/>
      <c r="G35" s="473">
        <f t="shared" si="17"/>
        <v>0</v>
      </c>
      <c r="H35" s="474" t="str">
        <f t="shared" si="2"/>
        <v>-</v>
      </c>
      <c r="I35" s="949"/>
      <c r="J35" s="471"/>
      <c r="K35" s="472"/>
      <c r="L35" s="473">
        <f t="shared" si="19"/>
        <v>0</v>
      </c>
      <c r="M35" s="474" t="str">
        <f t="shared" si="4"/>
        <v>-</v>
      </c>
      <c r="N35" s="915"/>
      <c r="O35" s="471"/>
      <c r="P35" s="471"/>
      <c r="Q35" s="473">
        <f t="shared" si="18"/>
        <v>0</v>
      </c>
      <c r="R35" s="474" t="str">
        <f t="shared" si="6"/>
        <v>-</v>
      </c>
      <c r="S35" s="915"/>
      <c r="T35" s="471"/>
      <c r="U35" s="471"/>
      <c r="V35" s="473">
        <f t="shared" si="7"/>
        <v>0</v>
      </c>
      <c r="W35" s="474" t="str">
        <f t="shared" si="8"/>
        <v>-</v>
      </c>
      <c r="X35" s="915"/>
      <c r="Y35" s="477"/>
      <c r="Z35" s="477"/>
    </row>
    <row r="36" spans="1:26" s="300" customFormat="1" ht="31.5" x14ac:dyDescent="0.2">
      <c r="A36" s="157">
        <v>2300</v>
      </c>
      <c r="B36" s="44" t="s">
        <v>377</v>
      </c>
      <c r="C36" s="573">
        <f>SUM(C37:C43)</f>
        <v>2389377</v>
      </c>
      <c r="D36" s="573">
        <f t="shared" ref="D36:E36" si="22">SUM(D37:D43)</f>
        <v>1400872</v>
      </c>
      <c r="E36" s="573">
        <f t="shared" si="22"/>
        <v>1200872</v>
      </c>
      <c r="F36" s="573">
        <f>SUM(F37:F43)</f>
        <v>1134029</v>
      </c>
      <c r="G36" s="561">
        <f t="shared" si="17"/>
        <v>-66843</v>
      </c>
      <c r="H36" s="579">
        <f t="shared" si="2"/>
        <v>-5.5662052242037456E-2</v>
      </c>
      <c r="I36" s="613" t="s">
        <v>378</v>
      </c>
      <c r="J36" s="573">
        <f>SUM(J37:J43)</f>
        <v>1200872</v>
      </c>
      <c r="K36" s="573">
        <f>SUM(K37:K43)</f>
        <v>1372034</v>
      </c>
      <c r="L36" s="561">
        <f t="shared" si="19"/>
        <v>171162</v>
      </c>
      <c r="M36" s="579">
        <f t="shared" si="4"/>
        <v>0.14253142716292827</v>
      </c>
      <c r="N36" s="569"/>
      <c r="O36" s="573">
        <f>SUM(O37:O43)</f>
        <v>1400872</v>
      </c>
      <c r="P36" s="573">
        <f>SUM(P37:P43)</f>
        <v>1611339</v>
      </c>
      <c r="Q36" s="561">
        <f t="shared" si="18"/>
        <v>210467</v>
      </c>
      <c r="R36" s="579">
        <f t="shared" si="6"/>
        <v>0.15023999337555466</v>
      </c>
      <c r="S36" s="570"/>
      <c r="T36" s="573">
        <f>SUM(T37:T43)</f>
        <v>1400872</v>
      </c>
      <c r="U36" s="573">
        <f>SUM(U37:U43)</f>
        <v>1491563</v>
      </c>
      <c r="V36" s="561">
        <f t="shared" si="7"/>
        <v>90691</v>
      </c>
      <c r="W36" s="579">
        <f t="shared" si="8"/>
        <v>6.4738962589015986E-2</v>
      </c>
      <c r="X36" s="570"/>
      <c r="Y36" s="575"/>
      <c r="Z36" s="575"/>
    </row>
    <row r="37" spans="1:26" x14ac:dyDescent="0.2">
      <c r="A37" s="258">
        <v>2310</v>
      </c>
      <c r="B37" s="470" t="s">
        <v>379</v>
      </c>
      <c r="C37" s="471">
        <v>2388437</v>
      </c>
      <c r="D37" s="471">
        <v>1400000</v>
      </c>
      <c r="E37" s="471">
        <f>2000000-800000</f>
        <v>1200000</v>
      </c>
      <c r="F37" s="472">
        <f>1383594-249763-674</f>
        <v>1133157</v>
      </c>
      <c r="G37" s="473">
        <f t="shared" si="17"/>
        <v>-66843</v>
      </c>
      <c r="H37" s="474">
        <f t="shared" si="2"/>
        <v>-5.5702500000000002E-2</v>
      </c>
      <c r="I37" s="942"/>
      <c r="J37" s="471">
        <v>1200000</v>
      </c>
      <c r="K37" s="472">
        <v>1371162</v>
      </c>
      <c r="L37" s="473">
        <f t="shared" si="19"/>
        <v>171162</v>
      </c>
      <c r="M37" s="474">
        <f t="shared" si="4"/>
        <v>0.14263500000000001</v>
      </c>
      <c r="N37" s="580"/>
      <c r="O37" s="471">
        <v>1400000</v>
      </c>
      <c r="P37" s="471">
        <f>1612815-2348</f>
        <v>1610467</v>
      </c>
      <c r="Q37" s="473">
        <f t="shared" si="18"/>
        <v>210467</v>
      </c>
      <c r="R37" s="474">
        <f t="shared" si="6"/>
        <v>0.15033357142857143</v>
      </c>
      <c r="S37" s="752"/>
      <c r="T37" s="471">
        <v>1400000</v>
      </c>
      <c r="U37" s="471">
        <f>1341853+148838</f>
        <v>1490691</v>
      </c>
      <c r="V37" s="473">
        <f t="shared" si="7"/>
        <v>90691</v>
      </c>
      <c r="W37" s="474">
        <f t="shared" si="8"/>
        <v>6.477928571428572E-2</v>
      </c>
      <c r="X37" s="828"/>
      <c r="Y37" s="477"/>
      <c r="Z37" s="477"/>
    </row>
    <row r="38" spans="1:26" ht="47.25" customHeight="1" x14ac:dyDescent="0.2">
      <c r="A38" s="258">
        <v>2320</v>
      </c>
      <c r="B38" s="35" t="s">
        <v>380</v>
      </c>
      <c r="C38" s="471"/>
      <c r="D38" s="471"/>
      <c r="E38" s="471"/>
      <c r="F38" s="471"/>
      <c r="G38" s="473">
        <f t="shared" si="17"/>
        <v>0</v>
      </c>
      <c r="H38" s="474" t="str">
        <f t="shared" si="2"/>
        <v>-</v>
      </c>
      <c r="I38" s="943"/>
      <c r="J38" s="471"/>
      <c r="K38" s="472"/>
      <c r="L38" s="473">
        <f t="shared" si="19"/>
        <v>0</v>
      </c>
      <c r="M38" s="474" t="str">
        <f t="shared" si="4"/>
        <v>-</v>
      </c>
      <c r="N38" s="581"/>
      <c r="O38" s="471"/>
      <c r="P38" s="471"/>
      <c r="Q38" s="473">
        <f t="shared" si="18"/>
        <v>0</v>
      </c>
      <c r="R38" s="474" t="str">
        <f t="shared" si="6"/>
        <v>-</v>
      </c>
      <c r="S38" s="582"/>
      <c r="T38" s="471"/>
      <c r="U38" s="471"/>
      <c r="V38" s="473">
        <f t="shared" si="7"/>
        <v>0</v>
      </c>
      <c r="W38" s="474" t="str">
        <f t="shared" si="8"/>
        <v>-</v>
      </c>
      <c r="X38" s="582"/>
      <c r="Y38" s="477"/>
      <c r="Z38" s="477"/>
    </row>
    <row r="39" spans="1:26" ht="31.5" customHeight="1" x14ac:dyDescent="0.2">
      <c r="A39" s="258">
        <v>2340</v>
      </c>
      <c r="B39" s="35" t="s">
        <v>381</v>
      </c>
      <c r="C39" s="471"/>
      <c r="D39" s="471"/>
      <c r="E39" s="471"/>
      <c r="F39" s="471"/>
      <c r="G39" s="473">
        <f t="shared" si="17"/>
        <v>0</v>
      </c>
      <c r="H39" s="474" t="str">
        <f t="shared" si="2"/>
        <v>-</v>
      </c>
      <c r="I39" s="943"/>
      <c r="J39" s="471"/>
      <c r="K39" s="472"/>
      <c r="L39" s="473">
        <f t="shared" si="19"/>
        <v>0</v>
      </c>
      <c r="M39" s="474" t="str">
        <f t="shared" si="4"/>
        <v>-</v>
      </c>
      <c r="N39" s="581"/>
      <c r="O39" s="471"/>
      <c r="P39" s="471"/>
      <c r="Q39" s="473">
        <f t="shared" si="18"/>
        <v>0</v>
      </c>
      <c r="R39" s="474" t="str">
        <f t="shared" si="6"/>
        <v>-</v>
      </c>
      <c r="S39" s="582"/>
      <c r="T39" s="471"/>
      <c r="U39" s="471"/>
      <c r="V39" s="473">
        <f t="shared" si="7"/>
        <v>0</v>
      </c>
      <c r="W39" s="474" t="str">
        <f t="shared" si="8"/>
        <v>-</v>
      </c>
      <c r="X39" s="582"/>
      <c r="Y39" s="477"/>
      <c r="Z39" s="477"/>
    </row>
    <row r="40" spans="1:26" x14ac:dyDescent="0.2">
      <c r="A40" s="258">
        <v>2360</v>
      </c>
      <c r="B40" s="35" t="s">
        <v>382</v>
      </c>
      <c r="C40" s="471"/>
      <c r="D40" s="471"/>
      <c r="E40" s="471"/>
      <c r="F40" s="471"/>
      <c r="G40" s="473">
        <f t="shared" si="17"/>
        <v>0</v>
      </c>
      <c r="H40" s="474" t="str">
        <f t="shared" si="2"/>
        <v>-</v>
      </c>
      <c r="I40" s="943"/>
      <c r="J40" s="471"/>
      <c r="K40" s="472"/>
      <c r="L40" s="473">
        <f t="shared" si="19"/>
        <v>0</v>
      </c>
      <c r="M40" s="474" t="str">
        <f t="shared" si="4"/>
        <v>-</v>
      </c>
      <c r="N40" s="581"/>
      <c r="O40" s="471"/>
      <c r="P40" s="471"/>
      <c r="Q40" s="473">
        <f t="shared" si="18"/>
        <v>0</v>
      </c>
      <c r="R40" s="474" t="str">
        <f t="shared" si="6"/>
        <v>-</v>
      </c>
      <c r="S40" s="582"/>
      <c r="T40" s="471"/>
      <c r="U40" s="471"/>
      <c r="V40" s="473">
        <f t="shared" si="7"/>
        <v>0</v>
      </c>
      <c r="W40" s="474" t="str">
        <f t="shared" si="8"/>
        <v>-</v>
      </c>
      <c r="X40" s="582"/>
      <c r="Y40" s="477"/>
      <c r="Z40" s="477"/>
    </row>
    <row r="41" spans="1:26" ht="31.5" customHeight="1" x14ac:dyDescent="0.2">
      <c r="A41" s="258">
        <v>2370</v>
      </c>
      <c r="B41" s="35" t="s">
        <v>383</v>
      </c>
      <c r="C41" s="471"/>
      <c r="D41" s="471"/>
      <c r="E41" s="471"/>
      <c r="F41" s="471"/>
      <c r="G41" s="473">
        <f t="shared" si="17"/>
        <v>0</v>
      </c>
      <c r="H41" s="474" t="str">
        <f t="shared" si="2"/>
        <v>-</v>
      </c>
      <c r="I41" s="943"/>
      <c r="J41" s="471"/>
      <c r="K41" s="472"/>
      <c r="L41" s="473">
        <f t="shared" si="19"/>
        <v>0</v>
      </c>
      <c r="M41" s="474" t="str">
        <f t="shared" si="4"/>
        <v>-</v>
      </c>
      <c r="N41" s="581"/>
      <c r="O41" s="471"/>
      <c r="P41" s="471"/>
      <c r="Q41" s="473">
        <f t="shared" si="18"/>
        <v>0</v>
      </c>
      <c r="R41" s="474" t="str">
        <f t="shared" si="6"/>
        <v>-</v>
      </c>
      <c r="S41" s="582"/>
      <c r="T41" s="471"/>
      <c r="U41" s="471"/>
      <c r="V41" s="473">
        <f t="shared" si="7"/>
        <v>0</v>
      </c>
      <c r="W41" s="474" t="str">
        <f t="shared" si="8"/>
        <v>-</v>
      </c>
      <c r="X41" s="582"/>
      <c r="Y41" s="477"/>
      <c r="Z41" s="477"/>
    </row>
    <row r="42" spans="1:26" x14ac:dyDescent="0.2">
      <c r="A42" s="258">
        <v>2380</v>
      </c>
      <c r="B42" s="35" t="s">
        <v>384</v>
      </c>
      <c r="C42" s="471"/>
      <c r="D42" s="471"/>
      <c r="E42" s="471"/>
      <c r="F42" s="471"/>
      <c r="G42" s="473">
        <f t="shared" si="17"/>
        <v>0</v>
      </c>
      <c r="H42" s="474" t="str">
        <f t="shared" si="2"/>
        <v>-</v>
      </c>
      <c r="I42" s="943"/>
      <c r="J42" s="471"/>
      <c r="K42" s="472"/>
      <c r="L42" s="473">
        <f t="shared" si="19"/>
        <v>0</v>
      </c>
      <c r="M42" s="474" t="str">
        <f t="shared" si="4"/>
        <v>-</v>
      </c>
      <c r="N42" s="581"/>
      <c r="O42" s="471"/>
      <c r="P42" s="471"/>
      <c r="Q42" s="473">
        <f t="shared" si="18"/>
        <v>0</v>
      </c>
      <c r="R42" s="474" t="str">
        <f t="shared" si="6"/>
        <v>-</v>
      </c>
      <c r="S42" s="582"/>
      <c r="T42" s="471"/>
      <c r="U42" s="471"/>
      <c r="V42" s="473">
        <f t="shared" si="7"/>
        <v>0</v>
      </c>
      <c r="W42" s="474" t="str">
        <f t="shared" si="8"/>
        <v>-</v>
      </c>
      <c r="X42" s="582"/>
      <c r="Y42" s="477"/>
      <c r="Z42" s="477"/>
    </row>
    <row r="43" spans="1:26" x14ac:dyDescent="0.2">
      <c r="A43" s="258">
        <v>2390</v>
      </c>
      <c r="B43" s="35" t="s">
        <v>385</v>
      </c>
      <c r="C43" s="471">
        <v>940</v>
      </c>
      <c r="D43" s="471">
        <v>872</v>
      </c>
      <c r="E43" s="471">
        <v>872</v>
      </c>
      <c r="F43" s="471">
        <v>872</v>
      </c>
      <c r="G43" s="473">
        <f t="shared" si="17"/>
        <v>0</v>
      </c>
      <c r="H43" s="474">
        <f t="shared" si="2"/>
        <v>0</v>
      </c>
      <c r="I43" s="944"/>
      <c r="J43" s="471">
        <v>872</v>
      </c>
      <c r="K43" s="472">
        <v>872</v>
      </c>
      <c r="L43" s="473">
        <f t="shared" si="19"/>
        <v>0</v>
      </c>
      <c r="M43" s="474">
        <f t="shared" si="4"/>
        <v>0</v>
      </c>
      <c r="N43" s="581"/>
      <c r="O43" s="471">
        <v>872</v>
      </c>
      <c r="P43" s="471">
        <v>872</v>
      </c>
      <c r="Q43" s="473">
        <f t="shared" si="18"/>
        <v>0</v>
      </c>
      <c r="R43" s="474">
        <f t="shared" si="6"/>
        <v>0</v>
      </c>
      <c r="S43" s="582"/>
      <c r="T43" s="471">
        <v>872</v>
      </c>
      <c r="U43" s="471">
        <v>872</v>
      </c>
      <c r="V43" s="473">
        <f t="shared" si="7"/>
        <v>0</v>
      </c>
      <c r="W43" s="474">
        <f t="shared" si="8"/>
        <v>0</v>
      </c>
      <c r="X43" s="582"/>
      <c r="Y43" s="477"/>
      <c r="Z43" s="477"/>
    </row>
    <row r="44" spans="1:26" s="300" customFormat="1" ht="31.5" customHeight="1" x14ac:dyDescent="0.2">
      <c r="A44" s="157">
        <v>2400</v>
      </c>
      <c r="B44" s="44" t="s">
        <v>386</v>
      </c>
      <c r="C44" s="573">
        <v>22753</v>
      </c>
      <c r="D44" s="573">
        <v>23000</v>
      </c>
      <c r="E44" s="573">
        <v>100000</v>
      </c>
      <c r="F44" s="573">
        <v>107997</v>
      </c>
      <c r="G44" s="583">
        <f t="shared" si="17"/>
        <v>7997</v>
      </c>
      <c r="H44" s="584">
        <f t="shared" si="2"/>
        <v>7.9969999999999999E-2</v>
      </c>
      <c r="I44" s="585"/>
      <c r="J44" s="573">
        <v>74000</v>
      </c>
      <c r="K44" s="573">
        <v>83250</v>
      </c>
      <c r="L44" s="583">
        <f t="shared" si="19"/>
        <v>9250</v>
      </c>
      <c r="M44" s="584">
        <f t="shared" si="4"/>
        <v>0.125</v>
      </c>
      <c r="N44" s="569"/>
      <c r="O44" s="573">
        <v>43000</v>
      </c>
      <c r="P44" s="573">
        <v>48918</v>
      </c>
      <c r="Q44" s="583">
        <f t="shared" si="18"/>
        <v>5918</v>
      </c>
      <c r="R44" s="584">
        <f t="shared" si="6"/>
        <v>0.13762790697674418</v>
      </c>
      <c r="S44" s="570"/>
      <c r="T44" s="573">
        <v>23000</v>
      </c>
      <c r="U44" s="573">
        <v>21560</v>
      </c>
      <c r="V44" s="583">
        <f t="shared" si="7"/>
        <v>-1440</v>
      </c>
      <c r="W44" s="584">
        <f t="shared" si="8"/>
        <v>-6.2608695652173918E-2</v>
      </c>
      <c r="X44" s="570"/>
      <c r="Y44" s="575"/>
      <c r="Z44" s="575"/>
    </row>
    <row r="45" spans="1:26" s="300" customFormat="1" x14ac:dyDescent="0.2">
      <c r="A45" s="157">
        <v>2500</v>
      </c>
      <c r="B45" s="44" t="s">
        <v>387</v>
      </c>
      <c r="C45" s="573">
        <v>0</v>
      </c>
      <c r="D45" s="573">
        <v>0</v>
      </c>
      <c r="E45" s="573">
        <v>0</v>
      </c>
      <c r="F45" s="573">
        <v>0</v>
      </c>
      <c r="G45" s="583">
        <f t="shared" si="17"/>
        <v>0</v>
      </c>
      <c r="H45" s="584" t="str">
        <f t="shared" si="2"/>
        <v>-</v>
      </c>
      <c r="I45" s="570"/>
      <c r="J45" s="573">
        <v>0</v>
      </c>
      <c r="K45" s="573">
        <v>0</v>
      </c>
      <c r="L45" s="583">
        <f t="shared" si="19"/>
        <v>0</v>
      </c>
      <c r="M45" s="584" t="str">
        <f t="shared" si="4"/>
        <v>-</v>
      </c>
      <c r="N45" s="570"/>
      <c r="O45" s="573">
        <v>0</v>
      </c>
      <c r="P45" s="573"/>
      <c r="Q45" s="583"/>
      <c r="R45" s="584"/>
      <c r="S45" s="570"/>
      <c r="T45" s="573">
        <v>0</v>
      </c>
      <c r="U45" s="573"/>
      <c r="V45" s="583">
        <f t="shared" si="7"/>
        <v>0</v>
      </c>
      <c r="W45" s="584" t="str">
        <f t="shared" si="8"/>
        <v>-</v>
      </c>
      <c r="X45" s="570"/>
      <c r="Y45" s="575"/>
      <c r="Z45" s="575"/>
    </row>
    <row r="46" spans="1:26" s="300" customFormat="1" ht="97.5" customHeight="1" x14ac:dyDescent="0.2">
      <c r="A46" s="157">
        <v>2600</v>
      </c>
      <c r="B46" s="44" t="s">
        <v>388</v>
      </c>
      <c r="C46" s="573">
        <v>1217330</v>
      </c>
      <c r="D46" s="573">
        <v>1100000</v>
      </c>
      <c r="E46" s="573">
        <v>1783625</v>
      </c>
      <c r="F46" s="573">
        <v>1949555</v>
      </c>
      <c r="G46" s="583">
        <f t="shared" si="17"/>
        <v>165930</v>
      </c>
      <c r="H46" s="584">
        <f t="shared" si="2"/>
        <v>9.3029644684280613E-2</v>
      </c>
      <c r="I46" s="612"/>
      <c r="J46" s="573">
        <v>1100000</v>
      </c>
      <c r="K46" s="573">
        <v>1463941</v>
      </c>
      <c r="L46" s="583">
        <f t="shared" si="19"/>
        <v>363941</v>
      </c>
      <c r="M46" s="584">
        <f t="shared" si="4"/>
        <v>0.33085545454545456</v>
      </c>
      <c r="N46" s="729" t="s">
        <v>389</v>
      </c>
      <c r="O46" s="573">
        <v>1100000</v>
      </c>
      <c r="P46" s="573">
        <v>1273466</v>
      </c>
      <c r="Q46" s="583">
        <f t="shared" ref="Q46" si="23">P46-O46</f>
        <v>173466</v>
      </c>
      <c r="R46" s="584">
        <f t="shared" ref="R46" si="24">IFERROR(Q46/ABS(O46), "-")</f>
        <v>0.15769636363636363</v>
      </c>
      <c r="S46" s="753" t="s">
        <v>390</v>
      </c>
      <c r="T46" s="573">
        <v>1100000</v>
      </c>
      <c r="U46" s="573">
        <v>2503856</v>
      </c>
      <c r="V46" s="583">
        <f t="shared" si="7"/>
        <v>1403856</v>
      </c>
      <c r="W46" s="584">
        <f t="shared" si="8"/>
        <v>1.2762327272727272</v>
      </c>
      <c r="X46" s="570"/>
      <c r="Y46" s="575"/>
      <c r="Z46" s="575"/>
    </row>
    <row r="47" spans="1:26" s="32" customFormat="1" x14ac:dyDescent="0.2">
      <c r="A47" s="542"/>
      <c r="B47" s="543" t="s">
        <v>391</v>
      </c>
      <c r="C47" s="545">
        <f>C25+C3</f>
        <v>18366669</v>
      </c>
      <c r="D47" s="545">
        <f>D3+D25</f>
        <v>19190217</v>
      </c>
      <c r="E47" s="545">
        <f>E3+E25</f>
        <v>17980324</v>
      </c>
      <c r="F47" s="545">
        <f>F25+F3</f>
        <v>17758168</v>
      </c>
      <c r="G47" s="551">
        <f t="shared" si="17"/>
        <v>-222156</v>
      </c>
      <c r="H47" s="552">
        <f t="shared" si="2"/>
        <v>-1.2355505940827318E-2</v>
      </c>
      <c r="I47" s="553"/>
      <c r="J47" s="545">
        <f>J3+J25</f>
        <v>17641949</v>
      </c>
      <c r="K47" s="545">
        <f>K25+K3</f>
        <v>18130266</v>
      </c>
      <c r="L47" s="551">
        <f t="shared" si="19"/>
        <v>488317</v>
      </c>
      <c r="M47" s="552">
        <f t="shared" si="4"/>
        <v>2.7679311395810067E-2</v>
      </c>
      <c r="N47" s="553"/>
      <c r="O47" s="545">
        <f>O3+O25</f>
        <v>19286694</v>
      </c>
      <c r="P47" s="545">
        <f>P25+P3</f>
        <v>18663000.880000003</v>
      </c>
      <c r="Q47" s="586">
        <f t="shared" ref="Q47" si="25">P47-O47</f>
        <v>-623693.11999999732</v>
      </c>
      <c r="R47" s="587">
        <f t="shared" ref="R47" si="26">IFERROR(Q47/ABS(O47), "-")</f>
        <v>-3.2338000488834284E-2</v>
      </c>
      <c r="S47" s="554"/>
      <c r="T47" s="545">
        <f>T3+T25</f>
        <v>19190217</v>
      </c>
      <c r="U47" s="545">
        <f>U25+U3</f>
        <v>20657486</v>
      </c>
      <c r="V47" s="551">
        <f t="shared" si="7"/>
        <v>1467269</v>
      </c>
      <c r="W47" s="552">
        <f t="shared" si="8"/>
        <v>7.6459218777984631E-2</v>
      </c>
      <c r="X47" s="553"/>
      <c r="Y47" s="549"/>
      <c r="Z47" s="549"/>
    </row>
    <row r="48" spans="1:26" s="32" customFormat="1" ht="12" customHeight="1" x14ac:dyDescent="0.2">
      <c r="A48" s="33"/>
      <c r="B48" s="24"/>
      <c r="C48" s="448"/>
      <c r="D48" s="448"/>
      <c r="E48" s="448"/>
      <c r="F48" s="448"/>
      <c r="G48" s="547"/>
      <c r="H48" s="550"/>
      <c r="I48" s="448"/>
      <c r="J48" s="448"/>
      <c r="K48" s="448"/>
      <c r="L48" s="547"/>
      <c r="M48" s="550"/>
      <c r="N48" s="448"/>
      <c r="O48" s="448"/>
      <c r="P48" s="448"/>
      <c r="Q48" s="547"/>
      <c r="R48" s="550"/>
      <c r="S48" s="448"/>
      <c r="T48" s="448"/>
      <c r="U48" s="448"/>
      <c r="V48" s="547"/>
      <c r="W48" s="550"/>
      <c r="X48" s="448"/>
      <c r="Y48" s="549"/>
      <c r="Z48" s="549"/>
    </row>
    <row r="49" spans="1:26" s="299" customFormat="1" x14ac:dyDescent="0.2">
      <c r="A49" s="546">
        <v>3000</v>
      </c>
      <c r="B49" s="543" t="s">
        <v>392</v>
      </c>
      <c r="C49" s="545">
        <f>C50+C51+C52+C55</f>
        <v>5231075</v>
      </c>
      <c r="D49" s="545">
        <f>D50+D51+D52+D55</f>
        <v>3991825</v>
      </c>
      <c r="E49" s="545">
        <f>E50+E51+E52+E55</f>
        <v>5377877</v>
      </c>
      <c r="F49" s="545">
        <f>F50+F51+F52+F55</f>
        <v>5041098</v>
      </c>
      <c r="G49" s="551">
        <f>F49-E49</f>
        <v>-336779</v>
      </c>
      <c r="H49" s="552">
        <f>IFERROR(G49/ABS(E49), "-")</f>
        <v>-6.2623038793932995E-2</v>
      </c>
      <c r="I49" s="748"/>
      <c r="J49" s="545">
        <f>J50+J51+J52+J55</f>
        <v>5100552</v>
      </c>
      <c r="K49" s="545">
        <f>K50+K51+K55</f>
        <v>4839611</v>
      </c>
      <c r="L49" s="551">
        <f>K49-J49</f>
        <v>-260941</v>
      </c>
      <c r="M49" s="552">
        <f>IFERROR(L49/ABS(J49), "-")</f>
        <v>-5.1159364711897852E-2</v>
      </c>
      <c r="N49" s="749"/>
      <c r="O49" s="545">
        <f>O50+O51+O52+O55</f>
        <v>4769375</v>
      </c>
      <c r="P49" s="545">
        <f>P50+P51+P52+P55</f>
        <v>4918778</v>
      </c>
      <c r="Q49" s="551">
        <f>P49-O49</f>
        <v>149403</v>
      </c>
      <c r="R49" s="552">
        <f>IFERROR(Q49/ABS(O49), "-")</f>
        <v>3.132548814047962E-2</v>
      </c>
      <c r="S49" s="748"/>
      <c r="T49" s="545">
        <f>T50+T51+T52+T55</f>
        <v>3991825</v>
      </c>
      <c r="U49" s="545">
        <f>U50+U51+U52+U55</f>
        <v>5192076</v>
      </c>
      <c r="V49" s="551">
        <f>U49-T49</f>
        <v>1200251</v>
      </c>
      <c r="W49" s="552">
        <f>IFERROR(V49/ABS(T49), "-")</f>
        <v>0.3006772591483845</v>
      </c>
      <c r="X49" s="748"/>
      <c r="Y49" s="571"/>
      <c r="Z49" s="571"/>
    </row>
    <row r="50" spans="1:26" s="300" customFormat="1" x14ac:dyDescent="0.2">
      <c r="A50" s="34">
        <v>3100</v>
      </c>
      <c r="B50" s="44" t="s">
        <v>393</v>
      </c>
      <c r="C50" s="573">
        <v>4044523</v>
      </c>
      <c r="D50" s="573">
        <v>4044523</v>
      </c>
      <c r="E50" s="573">
        <v>4044523</v>
      </c>
      <c r="F50" s="573">
        <v>4044523</v>
      </c>
      <c r="G50" s="583">
        <f t="shared" ref="G50:G80" si="27">F50-E50</f>
        <v>0</v>
      </c>
      <c r="H50" s="584">
        <f t="shared" ref="H50:H84" si="28">IFERROR(G50/ABS(E50), "-")</f>
        <v>0</v>
      </c>
      <c r="I50" s="588"/>
      <c r="J50" s="573">
        <v>4044523</v>
      </c>
      <c r="K50" s="573">
        <v>4044523</v>
      </c>
      <c r="L50" s="583">
        <f t="shared" ref="L50:L80" si="29">K50-J50</f>
        <v>0</v>
      </c>
      <c r="M50" s="584">
        <f t="shared" ref="M50:M80" si="30">IFERROR(L50/ABS(J50), "-")</f>
        <v>0</v>
      </c>
      <c r="N50" s="589"/>
      <c r="O50" s="573">
        <v>4044523</v>
      </c>
      <c r="P50" s="573">
        <v>4044523</v>
      </c>
      <c r="Q50" s="583">
        <f t="shared" ref="Q50:Q80" si="31">P50-O50</f>
        <v>0</v>
      </c>
      <c r="R50" s="584">
        <f t="shared" ref="R50:R80" si="32">IFERROR(Q50/ABS(O50), "-")</f>
        <v>0</v>
      </c>
      <c r="S50" s="588"/>
      <c r="T50" s="573">
        <v>4044523</v>
      </c>
      <c r="U50" s="573">
        <v>4044523</v>
      </c>
      <c r="V50" s="583">
        <f t="shared" ref="V50:V80" si="33">U50-T50</f>
        <v>0</v>
      </c>
      <c r="W50" s="584">
        <f t="shared" ref="W50:W80" si="34">IFERROR(V50/ABS(T50), "-")</f>
        <v>0</v>
      </c>
      <c r="X50" s="588"/>
      <c r="Y50" s="575"/>
      <c r="Z50" s="575"/>
    </row>
    <row r="51" spans="1:26" s="300" customFormat="1" x14ac:dyDescent="0.2">
      <c r="A51" s="34">
        <v>3200</v>
      </c>
      <c r="B51" s="44" t="s">
        <v>394</v>
      </c>
      <c r="C51" s="573">
        <v>2023178</v>
      </c>
      <c r="D51" s="573">
        <v>1964338</v>
      </c>
      <c r="E51" s="573">
        <v>2023178</v>
      </c>
      <c r="F51" s="573">
        <v>2023178</v>
      </c>
      <c r="G51" s="583">
        <v>0</v>
      </c>
      <c r="H51" s="584">
        <f t="shared" si="28"/>
        <v>0</v>
      </c>
      <c r="I51" s="590"/>
      <c r="J51" s="573">
        <v>2023178</v>
      </c>
      <c r="K51" s="573">
        <v>2023178</v>
      </c>
      <c r="L51" s="583">
        <f t="shared" si="29"/>
        <v>0</v>
      </c>
      <c r="M51" s="584">
        <f t="shared" si="30"/>
        <v>0</v>
      </c>
      <c r="N51" s="591"/>
      <c r="O51" s="573">
        <v>2023178</v>
      </c>
      <c r="P51" s="573">
        <v>2023178</v>
      </c>
      <c r="Q51" s="583">
        <f t="shared" si="31"/>
        <v>0</v>
      </c>
      <c r="R51" s="584">
        <f t="shared" si="32"/>
        <v>0</v>
      </c>
      <c r="S51" s="590"/>
      <c r="T51" s="573">
        <v>1964338</v>
      </c>
      <c r="U51" s="573">
        <v>1964338</v>
      </c>
      <c r="V51" s="583">
        <f t="shared" si="33"/>
        <v>0</v>
      </c>
      <c r="W51" s="584">
        <f t="shared" si="34"/>
        <v>0</v>
      </c>
      <c r="X51" s="590"/>
      <c r="Y51" s="575"/>
      <c r="Z51" s="575"/>
    </row>
    <row r="52" spans="1:26" s="300" customFormat="1" x14ac:dyDescent="0.2">
      <c r="A52" s="34">
        <v>3300</v>
      </c>
      <c r="B52" s="302" t="s">
        <v>395</v>
      </c>
      <c r="C52" s="573">
        <f>C53+C54</f>
        <v>0</v>
      </c>
      <c r="D52" s="573">
        <f t="shared" ref="D52:F52" si="35">D53+D54</f>
        <v>0</v>
      </c>
      <c r="E52" s="573">
        <f t="shared" si="35"/>
        <v>0</v>
      </c>
      <c r="F52" s="573">
        <f t="shared" si="35"/>
        <v>0</v>
      </c>
      <c r="G52" s="583">
        <f t="shared" ref="G52:G54" si="36">F52-E52</f>
        <v>0</v>
      </c>
      <c r="H52" s="584" t="str">
        <f t="shared" si="28"/>
        <v>-</v>
      </c>
      <c r="I52" s="928"/>
      <c r="J52" s="573">
        <f>J53+J54</f>
        <v>0</v>
      </c>
      <c r="K52" s="573">
        <f t="shared" ref="K52" si="37">K53+K54</f>
        <v>0</v>
      </c>
      <c r="L52" s="583">
        <f t="shared" si="29"/>
        <v>0</v>
      </c>
      <c r="M52" s="584" t="str">
        <f t="shared" si="30"/>
        <v>-</v>
      </c>
      <c r="N52" s="938"/>
      <c r="O52" s="573">
        <f>O53+O54</f>
        <v>0</v>
      </c>
      <c r="P52" s="573">
        <f t="shared" ref="P52" si="38">P53+P54</f>
        <v>0</v>
      </c>
      <c r="Q52" s="583">
        <f t="shared" si="31"/>
        <v>0</v>
      </c>
      <c r="R52" s="584" t="str">
        <f t="shared" si="32"/>
        <v>-</v>
      </c>
      <c r="S52" s="928"/>
      <c r="T52" s="573">
        <f>T53+T54</f>
        <v>0</v>
      </c>
      <c r="U52" s="573">
        <f t="shared" ref="U52" si="39">U53+U54</f>
        <v>0</v>
      </c>
      <c r="V52" s="583">
        <f t="shared" si="33"/>
        <v>0</v>
      </c>
      <c r="W52" s="584" t="str">
        <f t="shared" si="34"/>
        <v>-</v>
      </c>
      <c r="X52" s="912"/>
      <c r="Y52" s="575"/>
      <c r="Z52" s="575"/>
    </row>
    <row r="53" spans="1:26" x14ac:dyDescent="0.2">
      <c r="A53" s="258">
        <v>3320</v>
      </c>
      <c r="B53" s="37" t="s">
        <v>396</v>
      </c>
      <c r="C53" s="472"/>
      <c r="D53" s="472"/>
      <c r="E53" s="472"/>
      <c r="F53" s="472"/>
      <c r="G53" s="475">
        <f t="shared" si="36"/>
        <v>0</v>
      </c>
      <c r="H53" s="476" t="str">
        <f t="shared" si="28"/>
        <v>-</v>
      </c>
      <c r="I53" s="913"/>
      <c r="J53" s="472"/>
      <c r="K53" s="472"/>
      <c r="L53" s="475">
        <f t="shared" si="29"/>
        <v>0</v>
      </c>
      <c r="M53" s="476" t="str">
        <f t="shared" si="30"/>
        <v>-</v>
      </c>
      <c r="N53" s="923"/>
      <c r="O53" s="472"/>
      <c r="P53" s="472"/>
      <c r="Q53" s="475">
        <f t="shared" si="31"/>
        <v>0</v>
      </c>
      <c r="R53" s="476" t="str">
        <f t="shared" si="32"/>
        <v>-</v>
      </c>
      <c r="S53" s="913"/>
      <c r="T53" s="472"/>
      <c r="U53" s="472"/>
      <c r="V53" s="475">
        <f t="shared" si="33"/>
        <v>0</v>
      </c>
      <c r="W53" s="476" t="str">
        <f t="shared" si="34"/>
        <v>-</v>
      </c>
      <c r="X53" s="913"/>
      <c r="Y53" s="477"/>
      <c r="Z53" s="477"/>
    </row>
    <row r="54" spans="1:26" x14ac:dyDescent="0.2">
      <c r="A54" s="258">
        <v>3360</v>
      </c>
      <c r="B54" s="37" t="s">
        <v>397</v>
      </c>
      <c r="C54" s="472"/>
      <c r="D54" s="472"/>
      <c r="E54" s="472"/>
      <c r="F54" s="472"/>
      <c r="G54" s="475">
        <f t="shared" si="36"/>
        <v>0</v>
      </c>
      <c r="H54" s="476" t="str">
        <f t="shared" si="28"/>
        <v>-</v>
      </c>
      <c r="I54" s="913"/>
      <c r="J54" s="472"/>
      <c r="K54" s="472"/>
      <c r="L54" s="475">
        <f t="shared" si="29"/>
        <v>0</v>
      </c>
      <c r="M54" s="476" t="str">
        <f t="shared" si="30"/>
        <v>-</v>
      </c>
      <c r="N54" s="923"/>
      <c r="O54" s="472"/>
      <c r="P54" s="472"/>
      <c r="Q54" s="475">
        <f t="shared" si="31"/>
        <v>0</v>
      </c>
      <c r="R54" s="476" t="str">
        <f t="shared" si="32"/>
        <v>-</v>
      </c>
      <c r="S54" s="913"/>
      <c r="T54" s="472"/>
      <c r="U54" s="472"/>
      <c r="V54" s="475">
        <f t="shared" si="33"/>
        <v>0</v>
      </c>
      <c r="W54" s="476" t="str">
        <f t="shared" si="34"/>
        <v>-</v>
      </c>
      <c r="X54" s="913"/>
      <c r="Y54" s="477"/>
      <c r="Z54" s="477"/>
    </row>
    <row r="55" spans="1:26" s="32" customFormat="1" x14ac:dyDescent="0.2">
      <c r="A55" s="34">
        <v>3500</v>
      </c>
      <c r="B55" s="44" t="s">
        <v>398</v>
      </c>
      <c r="C55" s="441">
        <f>C56+C57</f>
        <v>-836626</v>
      </c>
      <c r="D55" s="441">
        <f t="shared" ref="D55:F55" si="40">D56+D57</f>
        <v>-2017036</v>
      </c>
      <c r="E55" s="441">
        <f t="shared" si="40"/>
        <v>-689824</v>
      </c>
      <c r="F55" s="441">
        <f t="shared" si="40"/>
        <v>-1026603</v>
      </c>
      <c r="G55" s="592">
        <f t="shared" si="27"/>
        <v>-336779</v>
      </c>
      <c r="H55" s="593">
        <f t="shared" si="28"/>
        <v>-0.48821003618314235</v>
      </c>
      <c r="I55" s="906" t="s">
        <v>399</v>
      </c>
      <c r="J55" s="441">
        <f t="shared" ref="J55:K55" si="41">J56+J57</f>
        <v>-967149</v>
      </c>
      <c r="K55" s="441">
        <f t="shared" si="41"/>
        <v>-1228090</v>
      </c>
      <c r="L55" s="592">
        <f t="shared" si="29"/>
        <v>-260941</v>
      </c>
      <c r="M55" s="593">
        <f t="shared" si="30"/>
        <v>-0.26980434245395485</v>
      </c>
      <c r="N55" s="562"/>
      <c r="O55" s="441">
        <f t="shared" ref="O55" si="42">O56+O57</f>
        <v>-1298326</v>
      </c>
      <c r="P55" s="594">
        <f>P56+P57</f>
        <v>-1148923</v>
      </c>
      <c r="Q55" s="592">
        <f t="shared" si="31"/>
        <v>149403</v>
      </c>
      <c r="R55" s="593">
        <f t="shared" si="32"/>
        <v>0.11507356395851273</v>
      </c>
      <c r="S55" s="562"/>
      <c r="T55" s="441">
        <f t="shared" ref="T55" si="43">T56+T57</f>
        <v>-2017036</v>
      </c>
      <c r="U55" s="594">
        <f>U56+U57</f>
        <v>-816785</v>
      </c>
      <c r="V55" s="592">
        <f t="shared" si="33"/>
        <v>1200251</v>
      </c>
      <c r="W55" s="593">
        <f t="shared" si="34"/>
        <v>0.59505680612542367</v>
      </c>
      <c r="X55" s="909" t="s">
        <v>400</v>
      </c>
      <c r="Y55" s="549"/>
      <c r="Z55" s="549"/>
    </row>
    <row r="56" spans="1:26" ht="35.25" customHeight="1" x14ac:dyDescent="0.2">
      <c r="A56" s="258">
        <v>3510</v>
      </c>
      <c r="B56" s="35" t="s">
        <v>401</v>
      </c>
      <c r="C56" s="472">
        <v>-283697</v>
      </c>
      <c r="D56" s="472">
        <v>-836626</v>
      </c>
      <c r="E56" s="472">
        <v>-836626</v>
      </c>
      <c r="F56" s="472">
        <v>-829389</v>
      </c>
      <c r="G56" s="472">
        <f>F56-E56</f>
        <v>7237</v>
      </c>
      <c r="H56" s="476">
        <f t="shared" si="28"/>
        <v>8.650221245813541E-3</v>
      </c>
      <c r="I56" s="907"/>
      <c r="J56" s="472">
        <v>-836626</v>
      </c>
      <c r="K56" s="472">
        <v>-829389</v>
      </c>
      <c r="L56" s="472">
        <v>-836626</v>
      </c>
      <c r="M56" s="472">
        <v>-836626</v>
      </c>
      <c r="N56" s="472"/>
      <c r="O56" s="472">
        <v>-836626</v>
      </c>
      <c r="P56" s="472">
        <v>-829389</v>
      </c>
      <c r="Q56" s="472">
        <f t="shared" si="31"/>
        <v>7237</v>
      </c>
      <c r="R56" s="747">
        <f t="shared" si="32"/>
        <v>8.650221245813541E-3</v>
      </c>
      <c r="S56" s="472"/>
      <c r="T56" s="472">
        <v>-836626</v>
      </c>
      <c r="U56" s="472">
        <v>-829389</v>
      </c>
      <c r="V56" s="475">
        <f t="shared" si="33"/>
        <v>7237</v>
      </c>
      <c r="W56" s="476">
        <f t="shared" si="34"/>
        <v>8.650221245813541E-3</v>
      </c>
      <c r="X56" s="914"/>
      <c r="Y56" s="477"/>
      <c r="Z56" s="477"/>
    </row>
    <row r="57" spans="1:26" ht="124.5" customHeight="1" x14ac:dyDescent="0.2">
      <c r="A57" s="258">
        <v>3520</v>
      </c>
      <c r="B57" s="35" t="s">
        <v>402</v>
      </c>
      <c r="C57" s="472">
        <v>-552929</v>
      </c>
      <c r="D57" s="472">
        <v>-1180410</v>
      </c>
      <c r="E57" s="472">
        <v>146802</v>
      </c>
      <c r="F57" s="472">
        <v>-197214</v>
      </c>
      <c r="G57" s="475">
        <f t="shared" si="27"/>
        <v>-344016</v>
      </c>
      <c r="H57" s="476">
        <f t="shared" si="28"/>
        <v>-2.3434013160583644</v>
      </c>
      <c r="I57" s="908"/>
      <c r="J57" s="472">
        <v>-130523</v>
      </c>
      <c r="K57" s="472">
        <v>-398701</v>
      </c>
      <c r="L57" s="475">
        <f t="shared" si="29"/>
        <v>-268178</v>
      </c>
      <c r="M57" s="476">
        <f t="shared" si="30"/>
        <v>-2.0546417106563593</v>
      </c>
      <c r="N57" s="578"/>
      <c r="O57" s="472">
        <v>-461700</v>
      </c>
      <c r="P57" s="472">
        <v>-319534</v>
      </c>
      <c r="Q57" s="475">
        <f t="shared" si="31"/>
        <v>142166</v>
      </c>
      <c r="R57" s="476">
        <f t="shared" si="32"/>
        <v>0.30791856183669047</v>
      </c>
      <c r="S57" s="750" t="s">
        <v>403</v>
      </c>
      <c r="T57" s="472">
        <v>-1180410</v>
      </c>
      <c r="U57" s="472">
        <v>12604</v>
      </c>
      <c r="V57" s="475">
        <f t="shared" si="33"/>
        <v>1193014</v>
      </c>
      <c r="W57" s="476">
        <f t="shared" si="34"/>
        <v>1.0106776459026949</v>
      </c>
      <c r="X57" s="915"/>
      <c r="Y57" s="477"/>
      <c r="Z57" s="477"/>
    </row>
    <row r="58" spans="1:26" x14ac:dyDescent="0.2">
      <c r="A58" s="544">
        <v>4000</v>
      </c>
      <c r="B58" s="543" t="s">
        <v>404</v>
      </c>
      <c r="C58" s="595">
        <v>267048</v>
      </c>
      <c r="D58" s="595">
        <v>292000</v>
      </c>
      <c r="E58" s="595">
        <v>267048</v>
      </c>
      <c r="F58" s="595">
        <v>267048</v>
      </c>
      <c r="G58" s="596">
        <f t="shared" si="27"/>
        <v>0</v>
      </c>
      <c r="H58" s="597">
        <f t="shared" si="28"/>
        <v>0</v>
      </c>
      <c r="I58" s="598"/>
      <c r="J58" s="595">
        <v>267048</v>
      </c>
      <c r="K58" s="595">
        <v>267048</v>
      </c>
      <c r="L58" s="596">
        <v>0</v>
      </c>
      <c r="M58" s="597">
        <f t="shared" si="30"/>
        <v>0</v>
      </c>
      <c r="N58" s="599"/>
      <c r="O58" s="595">
        <v>267048</v>
      </c>
      <c r="P58" s="595">
        <v>267048</v>
      </c>
      <c r="Q58" s="596">
        <v>0</v>
      </c>
      <c r="R58" s="597">
        <f t="shared" si="32"/>
        <v>0</v>
      </c>
      <c r="S58" s="598"/>
      <c r="T58" s="595">
        <v>292000</v>
      </c>
      <c r="U58" s="595">
        <v>261741</v>
      </c>
      <c r="V58" s="596">
        <v>0</v>
      </c>
      <c r="W58" s="597">
        <f t="shared" si="34"/>
        <v>0</v>
      </c>
      <c r="X58" s="598"/>
      <c r="Y58" s="477"/>
      <c r="Z58" s="477"/>
    </row>
    <row r="59" spans="1:26" s="32" customFormat="1" x14ac:dyDescent="0.2">
      <c r="A59" s="544">
        <v>5000</v>
      </c>
      <c r="B59" s="543" t="s">
        <v>405</v>
      </c>
      <c r="C59" s="545">
        <f>C60+C70</f>
        <v>12868546</v>
      </c>
      <c r="D59" s="545">
        <f>D60+D70</f>
        <v>14906392</v>
      </c>
      <c r="E59" s="545">
        <f>E60+E70</f>
        <v>12335399</v>
      </c>
      <c r="F59" s="545">
        <f>F60+F70</f>
        <v>12450022</v>
      </c>
      <c r="G59" s="551">
        <f t="shared" si="27"/>
        <v>114623</v>
      </c>
      <c r="H59" s="552">
        <f t="shared" si="28"/>
        <v>9.2922004387535409E-3</v>
      </c>
      <c r="I59" s="553"/>
      <c r="J59" s="545">
        <f>J60+J70</f>
        <v>12274349</v>
      </c>
      <c r="K59" s="545">
        <f>K60+K70</f>
        <v>13023607</v>
      </c>
      <c r="L59" s="551">
        <f t="shared" si="29"/>
        <v>749258</v>
      </c>
      <c r="M59" s="552">
        <f t="shared" si="30"/>
        <v>6.1042585639368735E-2</v>
      </c>
      <c r="N59" s="554"/>
      <c r="O59" s="545">
        <f>O60+O70</f>
        <v>14250271</v>
      </c>
      <c r="P59" s="545">
        <f>P60+P70</f>
        <v>13477175</v>
      </c>
      <c r="Q59" s="551">
        <f t="shared" si="31"/>
        <v>-773096</v>
      </c>
      <c r="R59" s="552">
        <f t="shared" si="32"/>
        <v>-5.4251319150351598E-2</v>
      </c>
      <c r="S59" s="553"/>
      <c r="T59" s="545">
        <f>T60+T70</f>
        <v>14906392</v>
      </c>
      <c r="U59" s="545">
        <f>U60+U70</f>
        <v>15203669</v>
      </c>
      <c r="V59" s="551">
        <f t="shared" si="33"/>
        <v>297277</v>
      </c>
      <c r="W59" s="552">
        <f t="shared" si="34"/>
        <v>1.9942921130747131E-2</v>
      </c>
      <c r="X59" s="553"/>
      <c r="Y59" s="549"/>
      <c r="Z59" s="549"/>
    </row>
    <row r="60" spans="1:26" s="32" customFormat="1" x14ac:dyDescent="0.2">
      <c r="A60" s="34">
        <v>5100</v>
      </c>
      <c r="B60" s="44" t="s">
        <v>406</v>
      </c>
      <c r="C60" s="441">
        <f>SUM(C61:C69)</f>
        <v>7091080</v>
      </c>
      <c r="D60" s="441">
        <f>SUM(D61:D69)</f>
        <v>9533161</v>
      </c>
      <c r="E60" s="441">
        <f>SUM(E61:E69)</f>
        <v>8022425</v>
      </c>
      <c r="F60" s="441">
        <f>SUM(F61:F69)</f>
        <v>7811545</v>
      </c>
      <c r="G60" s="559">
        <f t="shared" si="27"/>
        <v>-210880</v>
      </c>
      <c r="H60" s="560">
        <f t="shared" si="28"/>
        <v>-2.6286316169986008E-2</v>
      </c>
      <c r="I60" s="932"/>
      <c r="J60" s="441">
        <f>SUM(J61:J69)</f>
        <v>7725000</v>
      </c>
      <c r="K60" s="441">
        <f>SUM(K61:K69)</f>
        <v>8094272</v>
      </c>
      <c r="L60" s="559">
        <f t="shared" si="29"/>
        <v>369272</v>
      </c>
      <c r="M60" s="560">
        <f t="shared" si="30"/>
        <v>4.7802200647249188E-2</v>
      </c>
      <c r="N60" s="909" t="s">
        <v>407</v>
      </c>
      <c r="O60" s="441">
        <f>SUM(O61:O69)</f>
        <v>9652471</v>
      </c>
      <c r="P60" s="441">
        <f>SUM(P61:P69)</f>
        <v>8317673</v>
      </c>
      <c r="Q60" s="559">
        <f t="shared" si="31"/>
        <v>-1334798</v>
      </c>
      <c r="R60" s="560">
        <f t="shared" si="32"/>
        <v>-0.13828562655096296</v>
      </c>
      <c r="S60" s="939"/>
      <c r="T60" s="441">
        <f>SUM(T61:T69)</f>
        <v>9533161</v>
      </c>
      <c r="U60" s="441">
        <f>SUM(U61:U69)</f>
        <v>8294067</v>
      </c>
      <c r="V60" s="559">
        <f t="shared" si="33"/>
        <v>-1239094</v>
      </c>
      <c r="W60" s="560">
        <f t="shared" si="34"/>
        <v>-0.12997724469354918</v>
      </c>
      <c r="X60" s="916"/>
      <c r="Y60" s="549"/>
      <c r="Z60" s="549"/>
    </row>
    <row r="61" spans="1:26" x14ac:dyDescent="0.2">
      <c r="A61" s="258">
        <v>5110</v>
      </c>
      <c r="B61" s="35" t="s">
        <v>408</v>
      </c>
      <c r="C61" s="471"/>
      <c r="D61" s="472"/>
      <c r="E61" s="471"/>
      <c r="F61" s="471"/>
      <c r="G61" s="473">
        <f t="shared" si="27"/>
        <v>0</v>
      </c>
      <c r="H61" s="474" t="str">
        <f t="shared" si="28"/>
        <v>-</v>
      </c>
      <c r="I61" s="933"/>
      <c r="J61" s="471"/>
      <c r="K61" s="472"/>
      <c r="L61" s="473">
        <f t="shared" si="29"/>
        <v>0</v>
      </c>
      <c r="M61" s="474" t="str">
        <f t="shared" si="30"/>
        <v>-</v>
      </c>
      <c r="N61" s="914"/>
      <c r="O61" s="471"/>
      <c r="P61" s="471"/>
      <c r="Q61" s="473">
        <f t="shared" si="31"/>
        <v>0</v>
      </c>
      <c r="R61" s="474" t="str">
        <f t="shared" si="32"/>
        <v>-</v>
      </c>
      <c r="S61" s="940"/>
      <c r="T61" s="471"/>
      <c r="U61" s="471"/>
      <c r="V61" s="473">
        <f t="shared" si="33"/>
        <v>0</v>
      </c>
      <c r="W61" s="474" t="str">
        <f t="shared" si="34"/>
        <v>-</v>
      </c>
      <c r="X61" s="917"/>
      <c r="Y61" s="477"/>
      <c r="Z61" s="477"/>
    </row>
    <row r="62" spans="1:26" x14ac:dyDescent="0.2">
      <c r="A62" s="469">
        <v>5120</v>
      </c>
      <c r="B62" s="470" t="s">
        <v>409</v>
      </c>
      <c r="C62" s="471"/>
      <c r="D62" s="472"/>
      <c r="E62" s="471"/>
      <c r="F62" s="471"/>
      <c r="G62" s="473">
        <f t="shared" si="27"/>
        <v>0</v>
      </c>
      <c r="H62" s="474" t="str">
        <f t="shared" si="28"/>
        <v>-</v>
      </c>
      <c r="I62" s="933"/>
      <c r="J62" s="471"/>
      <c r="K62" s="472"/>
      <c r="L62" s="473">
        <f t="shared" si="29"/>
        <v>0</v>
      </c>
      <c r="M62" s="474" t="str">
        <f t="shared" si="30"/>
        <v>-</v>
      </c>
      <c r="N62" s="914"/>
      <c r="O62" s="471"/>
      <c r="P62" s="471"/>
      <c r="Q62" s="473">
        <f t="shared" si="31"/>
        <v>0</v>
      </c>
      <c r="R62" s="474" t="str">
        <f t="shared" si="32"/>
        <v>-</v>
      </c>
      <c r="S62" s="940"/>
      <c r="T62" s="471"/>
      <c r="U62" s="471"/>
      <c r="V62" s="473">
        <f t="shared" si="33"/>
        <v>0</v>
      </c>
      <c r="W62" s="474" t="str">
        <f t="shared" si="34"/>
        <v>-</v>
      </c>
      <c r="X62" s="917"/>
      <c r="Y62" s="477"/>
      <c r="Z62" s="477"/>
    </row>
    <row r="63" spans="1:26" x14ac:dyDescent="0.2">
      <c r="A63" s="469">
        <v>5130</v>
      </c>
      <c r="B63" s="470" t="s">
        <v>410</v>
      </c>
      <c r="C63" s="471"/>
      <c r="D63" s="472"/>
      <c r="E63" s="471"/>
      <c r="F63" s="471"/>
      <c r="G63" s="473">
        <f t="shared" si="27"/>
        <v>0</v>
      </c>
      <c r="H63" s="474" t="str">
        <f t="shared" si="28"/>
        <v>-</v>
      </c>
      <c r="I63" s="933"/>
      <c r="J63" s="471"/>
      <c r="K63" s="472"/>
      <c r="L63" s="473">
        <f t="shared" si="29"/>
        <v>0</v>
      </c>
      <c r="M63" s="474" t="str">
        <f t="shared" si="30"/>
        <v>-</v>
      </c>
      <c r="N63" s="914"/>
      <c r="O63" s="471"/>
      <c r="P63" s="471"/>
      <c r="Q63" s="473">
        <f t="shared" si="31"/>
        <v>0</v>
      </c>
      <c r="R63" s="474" t="str">
        <f t="shared" si="32"/>
        <v>-</v>
      </c>
      <c r="S63" s="940"/>
      <c r="T63" s="471"/>
      <c r="U63" s="471"/>
      <c r="V63" s="473">
        <f t="shared" si="33"/>
        <v>0</v>
      </c>
      <c r="W63" s="474" t="str">
        <f t="shared" si="34"/>
        <v>-</v>
      </c>
      <c r="X63" s="917"/>
      <c r="Y63" s="477"/>
      <c r="Z63" s="477"/>
    </row>
    <row r="64" spans="1:26" x14ac:dyDescent="0.2">
      <c r="A64" s="469">
        <v>5140</v>
      </c>
      <c r="B64" s="470" t="s">
        <v>411</v>
      </c>
      <c r="C64" s="471">
        <v>237225</v>
      </c>
      <c r="D64" s="472">
        <v>84754</v>
      </c>
      <c r="E64" s="471">
        <v>237225</v>
      </c>
      <c r="F64" s="471">
        <v>237225</v>
      </c>
      <c r="G64" s="473">
        <f t="shared" si="27"/>
        <v>0</v>
      </c>
      <c r="H64" s="474">
        <f t="shared" si="28"/>
        <v>0</v>
      </c>
      <c r="I64" s="933"/>
      <c r="J64" s="471">
        <v>152471</v>
      </c>
      <c r="K64" s="472">
        <v>268068</v>
      </c>
      <c r="L64" s="473">
        <f t="shared" si="29"/>
        <v>115597</v>
      </c>
      <c r="M64" s="474">
        <f t="shared" si="30"/>
        <v>0.75815728892707468</v>
      </c>
      <c r="N64" s="914"/>
      <c r="O64" s="471">
        <v>152471</v>
      </c>
      <c r="P64" s="471">
        <v>152471</v>
      </c>
      <c r="Q64" s="473">
        <f t="shared" si="31"/>
        <v>0</v>
      </c>
      <c r="R64" s="474">
        <f t="shared" si="32"/>
        <v>0</v>
      </c>
      <c r="S64" s="940"/>
      <c r="T64" s="472">
        <v>84754</v>
      </c>
      <c r="U64" s="471">
        <v>82215</v>
      </c>
      <c r="V64" s="473">
        <f t="shared" si="33"/>
        <v>-2539</v>
      </c>
      <c r="W64" s="474">
        <f t="shared" si="34"/>
        <v>-2.9957288151591665E-2</v>
      </c>
      <c r="X64" s="917"/>
      <c r="Y64" s="477"/>
      <c r="Z64" s="477"/>
    </row>
    <row r="65" spans="1:31" ht="31.5" x14ac:dyDescent="0.2">
      <c r="A65" s="469">
        <v>5150</v>
      </c>
      <c r="B65" s="470" t="s">
        <v>412</v>
      </c>
      <c r="C65" s="471"/>
      <c r="D65" s="472"/>
      <c r="E65" s="471"/>
      <c r="F65" s="471"/>
      <c r="G65" s="473">
        <f t="shared" si="27"/>
        <v>0</v>
      </c>
      <c r="H65" s="474" t="str">
        <f t="shared" si="28"/>
        <v>-</v>
      </c>
      <c r="I65" s="933"/>
      <c r="J65" s="471"/>
      <c r="K65" s="472"/>
      <c r="L65" s="473">
        <f t="shared" si="29"/>
        <v>0</v>
      </c>
      <c r="M65" s="474" t="str">
        <f t="shared" si="30"/>
        <v>-</v>
      </c>
      <c r="N65" s="914"/>
      <c r="O65" s="471"/>
      <c r="P65" s="471"/>
      <c r="Q65" s="473">
        <f t="shared" si="31"/>
        <v>0</v>
      </c>
      <c r="R65" s="474" t="str">
        <f t="shared" si="32"/>
        <v>-</v>
      </c>
      <c r="S65" s="940"/>
      <c r="T65" s="471"/>
      <c r="U65" s="471"/>
      <c r="V65" s="473">
        <f t="shared" si="33"/>
        <v>0</v>
      </c>
      <c r="W65" s="474" t="str">
        <f t="shared" si="34"/>
        <v>-</v>
      </c>
      <c r="X65" s="917"/>
      <c r="Y65" s="477"/>
      <c r="Z65" s="477"/>
    </row>
    <row r="66" spans="1:31" x14ac:dyDescent="0.2">
      <c r="A66" s="469">
        <v>5160</v>
      </c>
      <c r="B66" s="470" t="s">
        <v>413</v>
      </c>
      <c r="C66" s="471"/>
      <c r="D66" s="472"/>
      <c r="E66" s="471"/>
      <c r="F66" s="471"/>
      <c r="G66" s="473">
        <f t="shared" si="27"/>
        <v>0</v>
      </c>
      <c r="H66" s="474" t="str">
        <f t="shared" si="28"/>
        <v>-</v>
      </c>
      <c r="I66" s="933"/>
      <c r="J66" s="471"/>
      <c r="K66" s="472"/>
      <c r="L66" s="473">
        <f t="shared" si="29"/>
        <v>0</v>
      </c>
      <c r="M66" s="474" t="str">
        <f t="shared" si="30"/>
        <v>-</v>
      </c>
      <c r="N66" s="914"/>
      <c r="O66" s="471"/>
      <c r="P66" s="471"/>
      <c r="Q66" s="473">
        <f t="shared" si="31"/>
        <v>0</v>
      </c>
      <c r="R66" s="474" t="str">
        <f t="shared" si="32"/>
        <v>-</v>
      </c>
      <c r="S66" s="940"/>
      <c r="T66" s="471"/>
      <c r="U66" s="471"/>
      <c r="V66" s="473">
        <f t="shared" si="33"/>
        <v>0</v>
      </c>
      <c r="W66" s="474" t="str">
        <f t="shared" si="34"/>
        <v>-</v>
      </c>
      <c r="X66" s="917"/>
      <c r="Y66" s="477"/>
      <c r="Z66" s="477"/>
    </row>
    <row r="67" spans="1:31" x14ac:dyDescent="0.2">
      <c r="A67" s="469">
        <v>5170</v>
      </c>
      <c r="B67" s="470" t="s">
        <v>414</v>
      </c>
      <c r="C67" s="471">
        <v>6853855</v>
      </c>
      <c r="D67" s="472">
        <v>9448407</v>
      </c>
      <c r="E67" s="471">
        <f>6853855+210881+720464</f>
        <v>7785200</v>
      </c>
      <c r="F67" s="471">
        <v>7574320</v>
      </c>
      <c r="G67" s="473">
        <f t="shared" si="27"/>
        <v>-210880</v>
      </c>
      <c r="H67" s="474">
        <f t="shared" si="28"/>
        <v>-2.7087293839593074E-2</v>
      </c>
      <c r="I67" s="933"/>
      <c r="J67" s="471">
        <f>6853855+718674</f>
        <v>7572529</v>
      </c>
      <c r="K67" s="472">
        <v>7826204</v>
      </c>
      <c r="L67" s="473">
        <f t="shared" si="29"/>
        <v>253675</v>
      </c>
      <c r="M67" s="474">
        <f t="shared" si="30"/>
        <v>3.3499376496280174E-2</v>
      </c>
      <c r="N67" s="914"/>
      <c r="O67" s="471">
        <v>9500000</v>
      </c>
      <c r="P67" s="471">
        <v>8165202</v>
      </c>
      <c r="Q67" s="473">
        <f t="shared" si="31"/>
        <v>-1334798</v>
      </c>
      <c r="R67" s="474">
        <f t="shared" si="32"/>
        <v>-0.14050505263157895</v>
      </c>
      <c r="S67" s="940"/>
      <c r="T67" s="471">
        <f>6348855+3099552</f>
        <v>9448407</v>
      </c>
      <c r="U67" s="471">
        <v>8211852</v>
      </c>
      <c r="V67" s="473">
        <f t="shared" si="33"/>
        <v>-1236555</v>
      </c>
      <c r="W67" s="474">
        <f t="shared" si="34"/>
        <v>-0.13087444264414097</v>
      </c>
      <c r="X67" s="917"/>
      <c r="Y67" s="477"/>
      <c r="Z67" s="477"/>
    </row>
    <row r="68" spans="1:31" x14ac:dyDescent="0.2">
      <c r="A68" s="469">
        <v>5180</v>
      </c>
      <c r="B68" s="470" t="s">
        <v>415</v>
      </c>
      <c r="C68" s="471"/>
      <c r="D68" s="472"/>
      <c r="E68" s="471"/>
      <c r="F68" s="471"/>
      <c r="G68" s="473">
        <f t="shared" si="27"/>
        <v>0</v>
      </c>
      <c r="H68" s="474" t="str">
        <f t="shared" si="28"/>
        <v>-</v>
      </c>
      <c r="I68" s="933"/>
      <c r="J68" s="471"/>
      <c r="K68" s="472"/>
      <c r="L68" s="473">
        <f t="shared" si="29"/>
        <v>0</v>
      </c>
      <c r="M68" s="474" t="str">
        <f t="shared" si="30"/>
        <v>-</v>
      </c>
      <c r="N68" s="914"/>
      <c r="O68" s="471"/>
      <c r="P68" s="471"/>
      <c r="Q68" s="473">
        <f t="shared" si="31"/>
        <v>0</v>
      </c>
      <c r="R68" s="474" t="str">
        <f t="shared" si="32"/>
        <v>-</v>
      </c>
      <c r="S68" s="940"/>
      <c r="T68" s="471"/>
      <c r="U68" s="471"/>
      <c r="V68" s="473">
        <f t="shared" si="33"/>
        <v>0</v>
      </c>
      <c r="W68" s="474" t="str">
        <f t="shared" si="34"/>
        <v>-</v>
      </c>
      <c r="X68" s="917"/>
      <c r="Y68" s="477"/>
      <c r="Z68" s="477"/>
    </row>
    <row r="69" spans="1:31" x14ac:dyDescent="0.2">
      <c r="A69" s="258">
        <v>5190</v>
      </c>
      <c r="B69" s="35" t="s">
        <v>416</v>
      </c>
      <c r="C69" s="471"/>
      <c r="D69" s="472"/>
      <c r="E69" s="471"/>
      <c r="F69" s="471"/>
      <c r="G69" s="473">
        <f t="shared" si="27"/>
        <v>0</v>
      </c>
      <c r="H69" s="474" t="str">
        <f t="shared" si="28"/>
        <v>-</v>
      </c>
      <c r="I69" s="934"/>
      <c r="J69" s="471"/>
      <c r="K69" s="472"/>
      <c r="L69" s="473">
        <f t="shared" si="29"/>
        <v>0</v>
      </c>
      <c r="M69" s="474" t="str">
        <f t="shared" si="30"/>
        <v>-</v>
      </c>
      <c r="N69" s="915"/>
      <c r="O69" s="471"/>
      <c r="P69" s="471"/>
      <c r="Q69" s="473">
        <f t="shared" si="31"/>
        <v>0</v>
      </c>
      <c r="R69" s="474" t="str">
        <f t="shared" si="32"/>
        <v>-</v>
      </c>
      <c r="S69" s="941"/>
      <c r="T69" s="471"/>
      <c r="U69" s="471"/>
      <c r="V69" s="473">
        <f t="shared" si="33"/>
        <v>0</v>
      </c>
      <c r="W69" s="474" t="str">
        <f t="shared" si="34"/>
        <v>-</v>
      </c>
      <c r="X69" s="918"/>
      <c r="Y69" s="477"/>
      <c r="Z69" s="477"/>
    </row>
    <row r="70" spans="1:31" s="32" customFormat="1" x14ac:dyDescent="0.2">
      <c r="A70" s="34">
        <v>5200</v>
      </c>
      <c r="B70" s="44" t="s">
        <v>417</v>
      </c>
      <c r="C70" s="441">
        <f>SUM(C71:C79)</f>
        <v>5777466</v>
      </c>
      <c r="D70" s="441">
        <f>SUM(D71:D79)</f>
        <v>5373231</v>
      </c>
      <c r="E70" s="441">
        <f>SUM(E71:E79)</f>
        <v>4312974</v>
      </c>
      <c r="F70" s="441">
        <f>SUM(F71:F79)</f>
        <v>4638477</v>
      </c>
      <c r="G70" s="559">
        <f t="shared" si="27"/>
        <v>325503</v>
      </c>
      <c r="H70" s="560">
        <f t="shared" si="28"/>
        <v>7.5470661311661053E-2</v>
      </c>
      <c r="I70" s="935" t="s">
        <v>418</v>
      </c>
      <c r="J70" s="441">
        <f>SUM(J71:J79)</f>
        <v>4549349</v>
      </c>
      <c r="K70" s="441">
        <f>SUM(K71:K79)</f>
        <v>4929335</v>
      </c>
      <c r="L70" s="559">
        <f t="shared" si="29"/>
        <v>379986</v>
      </c>
      <c r="M70" s="560">
        <f t="shared" si="30"/>
        <v>8.3525357144505735E-2</v>
      </c>
      <c r="N70" s="909" t="s">
        <v>419</v>
      </c>
      <c r="O70" s="441">
        <f>SUM(O71:O79)</f>
        <v>4597800</v>
      </c>
      <c r="P70" s="441">
        <f>SUM(P71:P79)</f>
        <v>5159502</v>
      </c>
      <c r="Q70" s="559">
        <f t="shared" si="31"/>
        <v>561702</v>
      </c>
      <c r="R70" s="560">
        <f t="shared" si="32"/>
        <v>0.12216755839749445</v>
      </c>
      <c r="S70" s="909" t="s">
        <v>420</v>
      </c>
      <c r="T70" s="441">
        <f>SUM(T71:T79)</f>
        <v>5373231</v>
      </c>
      <c r="U70" s="441">
        <f>SUM(U71:U79)</f>
        <v>6909602</v>
      </c>
      <c r="V70" s="559">
        <f t="shared" si="33"/>
        <v>1536371</v>
      </c>
      <c r="W70" s="560">
        <f t="shared" si="34"/>
        <v>0.28593056952139223</v>
      </c>
      <c r="X70" s="909" t="s">
        <v>421</v>
      </c>
      <c r="Y70" s="549"/>
      <c r="Z70" s="549"/>
    </row>
    <row r="71" spans="1:31" x14ac:dyDescent="0.2">
      <c r="A71" s="258">
        <v>5210</v>
      </c>
      <c r="B71" s="35" t="s">
        <v>408</v>
      </c>
      <c r="C71" s="472"/>
      <c r="D71" s="472"/>
      <c r="E71" s="472"/>
      <c r="F71" s="472"/>
      <c r="G71" s="475">
        <f t="shared" si="27"/>
        <v>0</v>
      </c>
      <c r="H71" s="476" t="str">
        <f t="shared" si="28"/>
        <v>-</v>
      </c>
      <c r="I71" s="936"/>
      <c r="J71" s="472"/>
      <c r="K71" s="472"/>
      <c r="L71" s="475">
        <f t="shared" si="29"/>
        <v>0</v>
      </c>
      <c r="M71" s="476" t="str">
        <f t="shared" si="30"/>
        <v>-</v>
      </c>
      <c r="N71" s="914"/>
      <c r="O71" s="472"/>
      <c r="P71" s="472"/>
      <c r="Q71" s="475">
        <f t="shared" si="31"/>
        <v>0</v>
      </c>
      <c r="R71" s="476" t="str">
        <f t="shared" si="32"/>
        <v>-</v>
      </c>
      <c r="S71" s="910"/>
      <c r="T71" s="472"/>
      <c r="U71" s="472"/>
      <c r="V71" s="475">
        <f t="shared" si="33"/>
        <v>0</v>
      </c>
      <c r="W71" s="476" t="str">
        <f t="shared" si="34"/>
        <v>-</v>
      </c>
      <c r="X71" s="910"/>
      <c r="Y71" s="477"/>
      <c r="Z71" s="477"/>
    </row>
    <row r="72" spans="1:31" x14ac:dyDescent="0.2">
      <c r="A72" s="258">
        <v>5220</v>
      </c>
      <c r="B72" s="470" t="s">
        <v>409</v>
      </c>
      <c r="C72" s="472"/>
      <c r="D72" s="472"/>
      <c r="E72" s="472"/>
      <c r="F72" s="472"/>
      <c r="G72" s="475">
        <f t="shared" si="27"/>
        <v>0</v>
      </c>
      <c r="H72" s="476" t="str">
        <f t="shared" si="28"/>
        <v>-</v>
      </c>
      <c r="I72" s="936"/>
      <c r="J72" s="472"/>
      <c r="K72" s="472"/>
      <c r="L72" s="475">
        <f t="shared" si="29"/>
        <v>0</v>
      </c>
      <c r="M72" s="476" t="str">
        <f t="shared" si="30"/>
        <v>-</v>
      </c>
      <c r="N72" s="914"/>
      <c r="O72" s="472"/>
      <c r="P72" s="472"/>
      <c r="Q72" s="475">
        <f t="shared" si="31"/>
        <v>0</v>
      </c>
      <c r="R72" s="476" t="str">
        <f t="shared" si="32"/>
        <v>-</v>
      </c>
      <c r="S72" s="910"/>
      <c r="T72" s="472"/>
      <c r="U72" s="472"/>
      <c r="V72" s="475">
        <f t="shared" si="33"/>
        <v>0</v>
      </c>
      <c r="W72" s="476" t="str">
        <f t="shared" si="34"/>
        <v>-</v>
      </c>
      <c r="X72" s="910"/>
      <c r="Y72" s="477"/>
      <c r="Z72" s="477"/>
    </row>
    <row r="73" spans="1:31" x14ac:dyDescent="0.2">
      <c r="A73" s="258">
        <v>5230</v>
      </c>
      <c r="B73" s="470" t="s">
        <v>410</v>
      </c>
      <c r="C73" s="472">
        <v>660321</v>
      </c>
      <c r="D73" s="472">
        <v>35000</v>
      </c>
      <c r="E73" s="472">
        <v>40242</v>
      </c>
      <c r="F73" s="472">
        <v>48590</v>
      </c>
      <c r="G73" s="475">
        <f t="shared" si="27"/>
        <v>8348</v>
      </c>
      <c r="H73" s="476">
        <f t="shared" si="28"/>
        <v>0.20744495800407534</v>
      </c>
      <c r="I73" s="936"/>
      <c r="J73" s="472">
        <v>40000</v>
      </c>
      <c r="K73" s="472">
        <f>29064+26081</f>
        <v>55145</v>
      </c>
      <c r="L73" s="475">
        <f t="shared" si="29"/>
        <v>15145</v>
      </c>
      <c r="M73" s="476">
        <f t="shared" si="30"/>
        <v>0.37862499999999999</v>
      </c>
      <c r="N73" s="914"/>
      <c r="O73" s="472">
        <v>40000</v>
      </c>
      <c r="P73" s="472">
        <v>34633</v>
      </c>
      <c r="Q73" s="475">
        <f t="shared" si="31"/>
        <v>-5367</v>
      </c>
      <c r="R73" s="476">
        <f t="shared" si="32"/>
        <v>-0.13417499999999999</v>
      </c>
      <c r="S73" s="910"/>
      <c r="T73" s="472">
        <v>35000</v>
      </c>
      <c r="U73" s="472">
        <v>17805</v>
      </c>
      <c r="V73" s="475">
        <f t="shared" si="33"/>
        <v>-17195</v>
      </c>
      <c r="W73" s="476">
        <f t="shared" si="34"/>
        <v>-0.49128571428571427</v>
      </c>
      <c r="X73" s="910"/>
      <c r="Y73" s="477"/>
      <c r="Z73" s="477"/>
    </row>
    <row r="74" spans="1:31" x14ac:dyDescent="0.2">
      <c r="A74" s="258">
        <v>5240</v>
      </c>
      <c r="B74" s="470" t="s">
        <v>411</v>
      </c>
      <c r="C74" s="472">
        <v>2097264</v>
      </c>
      <c r="D74" s="472">
        <v>1900000</v>
      </c>
      <c r="E74" s="472">
        <f>1600000-175844</f>
        <v>1424156</v>
      </c>
      <c r="F74" s="472">
        <f>1819601+5304</f>
        <v>1824905</v>
      </c>
      <c r="G74" s="475">
        <f t="shared" si="27"/>
        <v>400749</v>
      </c>
      <c r="H74" s="476">
        <f t="shared" si="28"/>
        <v>0.28139403267619556</v>
      </c>
      <c r="I74" s="936"/>
      <c r="J74" s="472">
        <f>2000000-243839</f>
        <v>1756161</v>
      </c>
      <c r="K74" s="472">
        <v>2071314</v>
      </c>
      <c r="L74" s="475">
        <f t="shared" si="29"/>
        <v>315153</v>
      </c>
      <c r="M74" s="476">
        <f t="shared" si="30"/>
        <v>0.17945564216492679</v>
      </c>
      <c r="N74" s="914"/>
      <c r="O74" s="472">
        <v>1900000</v>
      </c>
      <c r="P74" s="472">
        <v>2568519</v>
      </c>
      <c r="Q74" s="475">
        <f t="shared" si="31"/>
        <v>668519</v>
      </c>
      <c r="R74" s="476">
        <f t="shared" si="32"/>
        <v>0.35185210526315791</v>
      </c>
      <c r="S74" s="910"/>
      <c r="T74" s="472">
        <v>1900000</v>
      </c>
      <c r="U74" s="472">
        <f>3122565-345408</f>
        <v>2777157</v>
      </c>
      <c r="V74" s="475">
        <f t="shared" si="33"/>
        <v>877157</v>
      </c>
      <c r="W74" s="476">
        <f t="shared" si="34"/>
        <v>0.46166157894736842</v>
      </c>
      <c r="X74" s="910"/>
      <c r="Y74" s="477"/>
      <c r="Z74" s="477"/>
    </row>
    <row r="75" spans="1:31" ht="31.5" x14ac:dyDescent="0.2">
      <c r="A75" s="258">
        <v>5250</v>
      </c>
      <c r="B75" s="470" t="s">
        <v>412</v>
      </c>
      <c r="C75" s="472">
        <v>716701</v>
      </c>
      <c r="D75" s="472">
        <v>902401</v>
      </c>
      <c r="E75" s="472">
        <v>747200</v>
      </c>
      <c r="F75" s="472">
        <v>640330</v>
      </c>
      <c r="G75" s="475">
        <f t="shared" si="27"/>
        <v>-106870</v>
      </c>
      <c r="H75" s="476">
        <f t="shared" si="28"/>
        <v>-0.14302730192719487</v>
      </c>
      <c r="I75" s="936"/>
      <c r="J75" s="472">
        <v>777700</v>
      </c>
      <c r="K75" s="472">
        <v>754713</v>
      </c>
      <c r="L75" s="475">
        <f t="shared" si="29"/>
        <v>-22987</v>
      </c>
      <c r="M75" s="476">
        <f t="shared" si="30"/>
        <v>-2.9557670052719559E-2</v>
      </c>
      <c r="N75" s="914"/>
      <c r="O75" s="472">
        <v>808200</v>
      </c>
      <c r="P75" s="472">
        <v>668305</v>
      </c>
      <c r="Q75" s="475">
        <f t="shared" si="31"/>
        <v>-139895</v>
      </c>
      <c r="R75" s="476">
        <f t="shared" si="32"/>
        <v>-0.17309453105666914</v>
      </c>
      <c r="S75" s="910"/>
      <c r="T75" s="472">
        <f>839700+62701</f>
        <v>902401</v>
      </c>
      <c r="U75" s="472">
        <v>875400</v>
      </c>
      <c r="V75" s="475">
        <f t="shared" si="33"/>
        <v>-27001</v>
      </c>
      <c r="W75" s="476">
        <f t="shared" si="34"/>
        <v>-2.9921287764530402E-2</v>
      </c>
      <c r="X75" s="910"/>
      <c r="Y75" s="477"/>
      <c r="Z75" s="477"/>
    </row>
    <row r="76" spans="1:31" x14ac:dyDescent="0.2">
      <c r="A76" s="258">
        <v>5260</v>
      </c>
      <c r="B76" s="470" t="s">
        <v>413</v>
      </c>
      <c r="C76" s="472">
        <v>873722</v>
      </c>
      <c r="D76" s="472">
        <v>830000</v>
      </c>
      <c r="E76" s="472">
        <v>828000</v>
      </c>
      <c r="F76" s="472">
        <v>847676</v>
      </c>
      <c r="G76" s="475">
        <f t="shared" si="27"/>
        <v>19676</v>
      </c>
      <c r="H76" s="476">
        <f t="shared" si="28"/>
        <v>2.376328502415459E-2</v>
      </c>
      <c r="I76" s="936"/>
      <c r="J76" s="472">
        <v>828000</v>
      </c>
      <c r="K76" s="472">
        <v>900676</v>
      </c>
      <c r="L76" s="475">
        <f t="shared" si="29"/>
        <v>72676</v>
      </c>
      <c r="M76" s="476">
        <f t="shared" si="30"/>
        <v>8.7772946859903375E-2</v>
      </c>
      <c r="N76" s="914"/>
      <c r="O76" s="472">
        <v>828000</v>
      </c>
      <c r="P76" s="472">
        <v>866446</v>
      </c>
      <c r="Q76" s="475">
        <f t="shared" si="31"/>
        <v>38446</v>
      </c>
      <c r="R76" s="476">
        <f t="shared" si="32"/>
        <v>4.6432367149758451E-2</v>
      </c>
      <c r="S76" s="910"/>
      <c r="T76" s="472">
        <v>830000</v>
      </c>
      <c r="U76" s="472">
        <f>980282+345408+148838</f>
        <v>1474528</v>
      </c>
      <c r="V76" s="475">
        <f t="shared" si="33"/>
        <v>644528</v>
      </c>
      <c r="W76" s="476">
        <f t="shared" si="34"/>
        <v>0.77653975903614458</v>
      </c>
      <c r="X76" s="910"/>
      <c r="Y76" s="477"/>
      <c r="Z76" s="477"/>
    </row>
    <row r="77" spans="1:31" x14ac:dyDescent="0.2">
      <c r="A77" s="258">
        <v>5270</v>
      </c>
      <c r="B77" s="470" t="s">
        <v>414</v>
      </c>
      <c r="C77" s="472">
        <v>503554</v>
      </c>
      <c r="D77" s="472">
        <v>655000</v>
      </c>
      <c r="E77" s="472">
        <v>377666</v>
      </c>
      <c r="F77" s="472">
        <v>377666</v>
      </c>
      <c r="G77" s="475">
        <f t="shared" si="27"/>
        <v>0</v>
      </c>
      <c r="H77" s="476">
        <f t="shared" si="28"/>
        <v>0</v>
      </c>
      <c r="I77" s="936"/>
      <c r="J77" s="472">
        <v>251778</v>
      </c>
      <c r="K77" s="472">
        <v>251777</v>
      </c>
      <c r="L77" s="475">
        <f t="shared" si="29"/>
        <v>-1</v>
      </c>
      <c r="M77" s="476">
        <f t="shared" si="30"/>
        <v>-3.9717528934219833E-6</v>
      </c>
      <c r="N77" s="914"/>
      <c r="O77" s="472">
        <v>125890</v>
      </c>
      <c r="P77" s="472">
        <v>125889</v>
      </c>
      <c r="Q77" s="475">
        <f t="shared" si="31"/>
        <v>-1</v>
      </c>
      <c r="R77" s="476">
        <f t="shared" si="32"/>
        <v>-7.9434426880610049E-6</v>
      </c>
      <c r="S77" s="910"/>
      <c r="T77" s="472">
        <f>505000+150000</f>
        <v>655000</v>
      </c>
      <c r="U77" s="472">
        <v>838134</v>
      </c>
      <c r="V77" s="475">
        <f t="shared" si="33"/>
        <v>183134</v>
      </c>
      <c r="W77" s="476">
        <f t="shared" si="34"/>
        <v>0.27959389312977101</v>
      </c>
      <c r="X77" s="910"/>
      <c r="Y77" s="477"/>
      <c r="Z77" s="477"/>
    </row>
    <row r="78" spans="1:31" x14ac:dyDescent="0.2">
      <c r="A78" s="258">
        <v>5280</v>
      </c>
      <c r="B78" s="35" t="s">
        <v>415</v>
      </c>
      <c r="C78" s="472">
        <v>925904</v>
      </c>
      <c r="D78" s="472">
        <v>1050830</v>
      </c>
      <c r="E78" s="472">
        <v>895710</v>
      </c>
      <c r="F78" s="472">
        <f>895710+3600</f>
        <v>899310</v>
      </c>
      <c r="G78" s="475">
        <f t="shared" si="27"/>
        <v>3600</v>
      </c>
      <c r="H78" s="476">
        <f t="shared" si="28"/>
        <v>4.0191579864018489E-3</v>
      </c>
      <c r="I78" s="936"/>
      <c r="J78" s="472">
        <v>895710</v>
      </c>
      <c r="K78" s="472">
        <v>895710</v>
      </c>
      <c r="L78" s="475">
        <f t="shared" si="29"/>
        <v>0</v>
      </c>
      <c r="M78" s="476">
        <f t="shared" si="30"/>
        <v>0</v>
      </c>
      <c r="N78" s="914"/>
      <c r="O78" s="472">
        <v>895710</v>
      </c>
      <c r="P78" s="472">
        <v>895710</v>
      </c>
      <c r="Q78" s="475">
        <f t="shared" si="31"/>
        <v>0</v>
      </c>
      <c r="R78" s="476">
        <f t="shared" si="32"/>
        <v>0</v>
      </c>
      <c r="S78" s="910"/>
      <c r="T78" s="472">
        <v>1050830</v>
      </c>
      <c r="U78" s="472">
        <f>16055+910523</f>
        <v>926578</v>
      </c>
      <c r="V78" s="475">
        <f t="shared" si="33"/>
        <v>-124252</v>
      </c>
      <c r="W78" s="476">
        <f t="shared" si="34"/>
        <v>-0.1182417707907083</v>
      </c>
      <c r="X78" s="910"/>
      <c r="Y78" s="477"/>
      <c r="Z78" s="477"/>
    </row>
    <row r="79" spans="1:31" ht="40.5" customHeight="1" x14ac:dyDescent="0.2">
      <c r="A79" s="258">
        <v>5290</v>
      </c>
      <c r="B79" s="35" t="s">
        <v>416</v>
      </c>
      <c r="C79" s="472"/>
      <c r="D79" s="472"/>
      <c r="E79" s="472"/>
      <c r="F79" s="472"/>
      <c r="G79" s="475">
        <f t="shared" si="27"/>
        <v>0</v>
      </c>
      <c r="H79" s="476" t="str">
        <f t="shared" si="28"/>
        <v>-</v>
      </c>
      <c r="I79" s="937"/>
      <c r="J79" s="472"/>
      <c r="K79" s="472"/>
      <c r="L79" s="475">
        <f t="shared" si="29"/>
        <v>0</v>
      </c>
      <c r="M79" s="476" t="str">
        <f t="shared" si="30"/>
        <v>-</v>
      </c>
      <c r="N79" s="915"/>
      <c r="O79" s="472"/>
      <c r="P79" s="472"/>
      <c r="Q79" s="475">
        <f t="shared" si="31"/>
        <v>0</v>
      </c>
      <c r="R79" s="476" t="str">
        <f t="shared" si="32"/>
        <v>-</v>
      </c>
      <c r="S79" s="911"/>
      <c r="T79" s="472"/>
      <c r="U79" s="472"/>
      <c r="V79" s="475">
        <f t="shared" si="33"/>
        <v>0</v>
      </c>
      <c r="W79" s="476" t="str">
        <f t="shared" si="34"/>
        <v>-</v>
      </c>
      <c r="X79" s="911"/>
      <c r="Y79" s="477"/>
      <c r="Z79" s="477"/>
    </row>
    <row r="80" spans="1:31" s="32" customFormat="1" x14ac:dyDescent="0.2">
      <c r="A80" s="542"/>
      <c r="B80" s="543" t="s">
        <v>422</v>
      </c>
      <c r="C80" s="545">
        <f>C59+C58+C49</f>
        <v>18366669</v>
      </c>
      <c r="D80" s="545">
        <f>D59+D58+D49</f>
        <v>19190217</v>
      </c>
      <c r="E80" s="545">
        <f>E59+E58+E49</f>
        <v>17980324</v>
      </c>
      <c r="F80" s="545">
        <f>F59+F58+F49</f>
        <v>17758168</v>
      </c>
      <c r="G80" s="551">
        <f t="shared" si="27"/>
        <v>-222156</v>
      </c>
      <c r="H80" s="552">
        <f t="shared" si="28"/>
        <v>-1.2355505940827318E-2</v>
      </c>
      <c r="I80" s="553"/>
      <c r="J80" s="545">
        <f>J59+J58+J49</f>
        <v>17641949</v>
      </c>
      <c r="K80" s="545">
        <f>K59+K58+K49</f>
        <v>18130266</v>
      </c>
      <c r="L80" s="551">
        <f t="shared" si="29"/>
        <v>488317</v>
      </c>
      <c r="M80" s="552">
        <f t="shared" si="30"/>
        <v>2.7679311395810067E-2</v>
      </c>
      <c r="N80" s="553"/>
      <c r="O80" s="545">
        <f>O59+O58+O49</f>
        <v>19286694</v>
      </c>
      <c r="P80" s="545">
        <f>P59+P58+P49</f>
        <v>18663001</v>
      </c>
      <c r="Q80" s="551">
        <f t="shared" si="31"/>
        <v>-623693</v>
      </c>
      <c r="R80" s="552">
        <f t="shared" si="32"/>
        <v>-3.233799426692828E-2</v>
      </c>
      <c r="S80" s="553"/>
      <c r="T80" s="545">
        <f>T59+T58+T49</f>
        <v>19190217</v>
      </c>
      <c r="U80" s="545">
        <f>U59+U58+U49</f>
        <v>20657486</v>
      </c>
      <c r="V80" s="551">
        <f t="shared" si="33"/>
        <v>1467269</v>
      </c>
      <c r="W80" s="552">
        <f t="shared" si="34"/>
        <v>7.6459218777984631E-2</v>
      </c>
      <c r="X80" s="553"/>
      <c r="Y80" s="549"/>
      <c r="Z80" s="600"/>
      <c r="AA80" s="159"/>
      <c r="AB80" s="159"/>
      <c r="AC80" s="159"/>
      <c r="AE80" s="159"/>
    </row>
    <row r="81" spans="1:26" x14ac:dyDescent="0.2">
      <c r="A81" s="929"/>
      <c r="B81" s="930"/>
      <c r="C81" s="931"/>
      <c r="D81" s="931"/>
      <c r="E81" s="931"/>
      <c r="F81" s="931"/>
      <c r="G81" s="931"/>
      <c r="H81" s="931"/>
      <c r="I81" s="931"/>
      <c r="J81" s="477"/>
      <c r="L81" s="477"/>
      <c r="M81" s="477"/>
      <c r="N81" s="477"/>
      <c r="O81" s="477"/>
      <c r="P81" s="477"/>
      <c r="Q81" s="477"/>
      <c r="R81" s="477"/>
      <c r="S81" s="477"/>
      <c r="T81" s="477"/>
      <c r="U81" s="477"/>
      <c r="V81" s="477"/>
      <c r="W81" s="477"/>
      <c r="X81" s="477"/>
      <c r="Y81" s="477"/>
      <c r="Z81" s="477"/>
    </row>
    <row r="82" spans="1:26" s="32" customFormat="1" x14ac:dyDescent="0.2">
      <c r="A82" s="542" t="s">
        <v>423</v>
      </c>
      <c r="B82" s="543" t="s">
        <v>424</v>
      </c>
      <c r="C82" s="545">
        <f>SUM(C83:C84)</f>
        <v>12868546</v>
      </c>
      <c r="D82" s="545">
        <f t="shared" ref="D82:F82" si="44">SUM(D83:D84)</f>
        <v>14906392</v>
      </c>
      <c r="E82" s="545">
        <f t="shared" si="44"/>
        <v>12335399</v>
      </c>
      <c r="F82" s="545">
        <f t="shared" si="44"/>
        <v>12450022</v>
      </c>
      <c r="G82" s="551">
        <f t="shared" ref="G82:G84" si="45">F82-E82</f>
        <v>114623</v>
      </c>
      <c r="H82" s="552">
        <f t="shared" si="28"/>
        <v>9.2922004387535409E-3</v>
      </c>
      <c r="I82" s="553"/>
      <c r="J82" s="545">
        <f t="shared" ref="J82:K82" si="46">SUM(J83:J84)</f>
        <v>12274349</v>
      </c>
      <c r="K82" s="545">
        <f t="shared" si="46"/>
        <v>13023607</v>
      </c>
      <c r="L82" s="551">
        <f t="shared" ref="L82:L84" si="47">K82-J82</f>
        <v>749258</v>
      </c>
      <c r="M82" s="552">
        <f t="shared" ref="M82:M84" si="48">IFERROR(L82/ABS(J82), "-")</f>
        <v>6.1042585639368735E-2</v>
      </c>
      <c r="N82" s="554"/>
      <c r="O82" s="545">
        <f t="shared" ref="O82:P82" si="49">SUM(O83:O84)</f>
        <v>14250271</v>
      </c>
      <c r="P82" s="545">
        <f t="shared" si="49"/>
        <v>13477175</v>
      </c>
      <c r="Q82" s="551">
        <f t="shared" ref="Q82:Q84" si="50">P82-O82</f>
        <v>-773096</v>
      </c>
      <c r="R82" s="552">
        <f t="shared" ref="R82:R84" si="51">IFERROR(Q82/ABS(O82), "-")</f>
        <v>-5.4251319150351598E-2</v>
      </c>
      <c r="S82" s="553"/>
      <c r="T82" s="545">
        <f t="shared" ref="T82:U82" si="52">SUM(T83:T84)</f>
        <v>14906392</v>
      </c>
      <c r="U82" s="545">
        <f t="shared" si="52"/>
        <v>15203669</v>
      </c>
      <c r="V82" s="551">
        <f t="shared" ref="V82:V84" si="53">U82-T82</f>
        <v>297277</v>
      </c>
      <c r="W82" s="552">
        <f t="shared" ref="W82:W84" si="54">IFERROR(V82/ABS(T82), "-")</f>
        <v>1.9942921130747131E-2</v>
      </c>
      <c r="X82" s="553"/>
      <c r="Y82" s="549"/>
      <c r="Z82" s="549"/>
    </row>
    <row r="83" spans="1:26" s="32" customFormat="1" x14ac:dyDescent="0.2">
      <c r="A83" s="34">
        <v>5100</v>
      </c>
      <c r="B83" s="45" t="s">
        <v>425</v>
      </c>
      <c r="C83" s="441">
        <f>C60</f>
        <v>7091080</v>
      </c>
      <c r="D83" s="441">
        <f>D60</f>
        <v>9533161</v>
      </c>
      <c r="E83" s="441">
        <f>E60</f>
        <v>8022425</v>
      </c>
      <c r="F83" s="441">
        <f>F60</f>
        <v>7811545</v>
      </c>
      <c r="G83" s="559">
        <f t="shared" si="45"/>
        <v>-210880</v>
      </c>
      <c r="H83" s="560">
        <f t="shared" si="28"/>
        <v>-2.6286316169986008E-2</v>
      </c>
      <c r="I83" s="601"/>
      <c r="J83" s="441">
        <f>J60</f>
        <v>7725000</v>
      </c>
      <c r="K83" s="441">
        <f>K60</f>
        <v>8094272</v>
      </c>
      <c r="L83" s="559">
        <f t="shared" si="47"/>
        <v>369272</v>
      </c>
      <c r="M83" s="560">
        <f t="shared" si="48"/>
        <v>4.7802200647249188E-2</v>
      </c>
      <c r="N83" s="602"/>
      <c r="O83" s="441">
        <f>O60</f>
        <v>9652471</v>
      </c>
      <c r="P83" s="441">
        <f>P60</f>
        <v>8317673</v>
      </c>
      <c r="Q83" s="559">
        <f t="shared" si="50"/>
        <v>-1334798</v>
      </c>
      <c r="R83" s="560">
        <f t="shared" si="51"/>
        <v>-0.13828562655096296</v>
      </c>
      <c r="S83" s="601"/>
      <c r="T83" s="441">
        <f>T60</f>
        <v>9533161</v>
      </c>
      <c r="U83" s="441">
        <f>U60</f>
        <v>8294067</v>
      </c>
      <c r="V83" s="559">
        <f t="shared" si="53"/>
        <v>-1239094</v>
      </c>
      <c r="W83" s="560">
        <f t="shared" si="54"/>
        <v>-0.12997724469354918</v>
      </c>
      <c r="X83" s="601"/>
      <c r="Y83" s="549"/>
      <c r="Z83" s="549"/>
    </row>
    <row r="84" spans="1:26" s="32" customFormat="1" x14ac:dyDescent="0.2">
      <c r="A84" s="34">
        <v>5200</v>
      </c>
      <c r="B84" s="46" t="s">
        <v>426</v>
      </c>
      <c r="C84" s="441">
        <f>C70</f>
        <v>5777466</v>
      </c>
      <c r="D84" s="441">
        <f t="shared" ref="D84:F84" si="55">D70</f>
        <v>5373231</v>
      </c>
      <c r="E84" s="441">
        <f t="shared" si="55"/>
        <v>4312974</v>
      </c>
      <c r="F84" s="441">
        <f t="shared" si="55"/>
        <v>4638477</v>
      </c>
      <c r="G84" s="559">
        <f t="shared" si="45"/>
        <v>325503</v>
      </c>
      <c r="H84" s="560">
        <f t="shared" si="28"/>
        <v>7.5470661311661053E-2</v>
      </c>
      <c r="I84" s="601"/>
      <c r="J84" s="441">
        <f t="shared" ref="J84:K84" si="56">J70</f>
        <v>4549349</v>
      </c>
      <c r="K84" s="441">
        <f t="shared" si="56"/>
        <v>4929335</v>
      </c>
      <c r="L84" s="559">
        <f t="shared" si="47"/>
        <v>379986</v>
      </c>
      <c r="M84" s="560">
        <f t="shared" si="48"/>
        <v>8.3525357144505735E-2</v>
      </c>
      <c r="N84" s="602"/>
      <c r="O84" s="441">
        <f t="shared" ref="O84:P84" si="57">O70</f>
        <v>4597800</v>
      </c>
      <c r="P84" s="603">
        <f t="shared" si="57"/>
        <v>5159502</v>
      </c>
      <c r="Q84" s="559">
        <f t="shared" si="50"/>
        <v>561702</v>
      </c>
      <c r="R84" s="560">
        <f t="shared" si="51"/>
        <v>0.12216755839749445</v>
      </c>
      <c r="S84" s="601"/>
      <c r="T84" s="441">
        <f t="shared" ref="T84:U84" si="58">T70</f>
        <v>5373231</v>
      </c>
      <c r="U84" s="441">
        <f t="shared" si="58"/>
        <v>6909602</v>
      </c>
      <c r="V84" s="559">
        <f t="shared" si="53"/>
        <v>1536371</v>
      </c>
      <c r="W84" s="560">
        <f t="shared" si="54"/>
        <v>0.28593056952139223</v>
      </c>
      <c r="X84" s="601"/>
      <c r="Y84" s="549"/>
      <c r="Z84" s="549"/>
    </row>
    <row r="85" spans="1:26" s="32" customFormat="1" x14ac:dyDescent="0.2">
      <c r="A85" s="41"/>
      <c r="B85" s="42"/>
      <c r="C85" s="604"/>
      <c r="D85" s="604"/>
      <c r="E85" s="604"/>
      <c r="F85" s="604"/>
      <c r="G85" s="605"/>
      <c r="H85" s="606"/>
      <c r="I85" s="607"/>
      <c r="J85" s="604"/>
      <c r="K85" s="604"/>
      <c r="L85" s="605"/>
      <c r="M85" s="606"/>
      <c r="N85" s="608"/>
      <c r="O85" s="604"/>
      <c r="P85" s="609"/>
      <c r="Q85" s="605"/>
      <c r="R85" s="606"/>
      <c r="S85" s="607"/>
      <c r="T85" s="604"/>
      <c r="U85" s="604"/>
      <c r="V85" s="605"/>
      <c r="W85" s="606"/>
      <c r="X85" s="607"/>
      <c r="Y85" s="549"/>
      <c r="Z85" s="549"/>
    </row>
    <row r="86" spans="1:26" x14ac:dyDescent="0.2">
      <c r="A86" s="894" t="s">
        <v>290</v>
      </c>
      <c r="B86" s="894"/>
      <c r="C86" s="477"/>
      <c r="D86" s="477"/>
      <c r="E86" s="477"/>
      <c r="F86" s="477"/>
      <c r="G86" s="610"/>
      <c r="H86" s="610"/>
      <c r="I86" s="477"/>
      <c r="J86" s="477"/>
      <c r="L86" s="610"/>
      <c r="M86" s="610"/>
      <c r="N86" s="477"/>
      <c r="O86" s="477"/>
      <c r="P86" s="566"/>
      <c r="Q86" s="610"/>
      <c r="R86" s="610"/>
      <c r="S86" s="477"/>
      <c r="T86" s="477"/>
      <c r="U86" s="477"/>
      <c r="V86" s="610"/>
      <c r="W86" s="610"/>
      <c r="X86" s="477"/>
      <c r="Y86" s="477"/>
      <c r="Z86" s="477"/>
    </row>
    <row r="87" spans="1:26" ht="36.75" customHeight="1" x14ac:dyDescent="0.2">
      <c r="A87" s="926" t="s">
        <v>332</v>
      </c>
      <c r="B87" s="926"/>
      <c r="C87" s="927"/>
      <c r="D87" s="927"/>
      <c r="E87" s="927"/>
      <c r="F87" s="927"/>
      <c r="G87" s="927"/>
      <c r="H87" s="611"/>
      <c r="I87" s="611"/>
      <c r="J87" s="611"/>
      <c r="K87" s="611"/>
      <c r="L87" s="611"/>
      <c r="M87" s="611"/>
      <c r="N87" s="611"/>
      <c r="O87" s="611"/>
      <c r="P87" s="566"/>
      <c r="Q87" s="610"/>
      <c r="R87" s="610"/>
      <c r="S87" s="477"/>
      <c r="T87" s="477"/>
      <c r="U87" s="477"/>
      <c r="V87" s="610"/>
      <c r="W87" s="610"/>
      <c r="X87" s="477"/>
      <c r="Y87" s="477"/>
      <c r="Z87" s="477"/>
    </row>
    <row r="88" spans="1:26" x14ac:dyDescent="0.2">
      <c r="C88" s="477"/>
      <c r="D88" s="477"/>
      <c r="E88" s="477"/>
      <c r="F88" s="477"/>
      <c r="G88" s="610"/>
      <c r="H88" s="610"/>
      <c r="I88" s="477"/>
      <c r="J88" s="477"/>
      <c r="L88" s="610"/>
      <c r="M88" s="610"/>
      <c r="N88" s="477"/>
      <c r="O88" s="477"/>
      <c r="P88" s="566"/>
      <c r="Q88" s="610"/>
      <c r="R88" s="610"/>
      <c r="S88" s="477"/>
      <c r="T88" s="477"/>
      <c r="U88" s="477"/>
      <c r="V88" s="610"/>
      <c r="W88" s="610"/>
      <c r="X88" s="477"/>
      <c r="Y88" s="477"/>
      <c r="Z88" s="477"/>
    </row>
    <row r="89" spans="1:26" x14ac:dyDescent="0.2">
      <c r="C89" s="477"/>
      <c r="D89" s="477"/>
      <c r="E89" s="477"/>
      <c r="F89" s="477"/>
      <c r="G89" s="610"/>
      <c r="H89" s="610"/>
      <c r="I89" s="477"/>
      <c r="J89" s="477"/>
      <c r="L89" s="610"/>
      <c r="M89" s="610"/>
      <c r="N89" s="477"/>
      <c r="O89" s="477"/>
      <c r="P89" s="566"/>
      <c r="Q89" s="610"/>
      <c r="R89" s="610"/>
      <c r="S89" s="477"/>
      <c r="T89" s="477"/>
      <c r="U89" s="477"/>
      <c r="V89" s="610"/>
      <c r="W89" s="610"/>
      <c r="X89" s="477"/>
      <c r="Y89" s="477"/>
      <c r="Z89" s="477"/>
    </row>
    <row r="90" spans="1:26" x14ac:dyDescent="0.2">
      <c r="C90" s="477"/>
      <c r="D90" s="477"/>
      <c r="E90" s="477"/>
      <c r="F90" s="477"/>
      <c r="G90" s="610"/>
      <c r="H90" s="610"/>
      <c r="I90" s="477"/>
      <c r="J90" s="477"/>
      <c r="L90" s="610"/>
      <c r="M90" s="610"/>
      <c r="N90" s="477"/>
      <c r="O90" s="477"/>
      <c r="P90" s="566"/>
      <c r="Q90" s="610"/>
      <c r="R90" s="610"/>
      <c r="S90" s="477"/>
      <c r="T90" s="477"/>
      <c r="U90" s="477"/>
      <c r="V90" s="610"/>
      <c r="W90" s="610"/>
      <c r="X90" s="477"/>
      <c r="Y90" s="477"/>
      <c r="Z90" s="477"/>
    </row>
    <row r="91" spans="1:26" x14ac:dyDescent="0.2">
      <c r="C91" s="477"/>
      <c r="D91" s="477"/>
      <c r="E91" s="477"/>
      <c r="F91" s="477"/>
      <c r="G91" s="610"/>
      <c r="H91" s="610"/>
      <c r="I91" s="477"/>
      <c r="J91" s="477"/>
      <c r="L91" s="610"/>
      <c r="M91" s="610"/>
      <c r="N91" s="477"/>
      <c r="O91" s="477"/>
      <c r="P91" s="566"/>
      <c r="Q91" s="610"/>
      <c r="R91" s="610"/>
      <c r="S91" s="477"/>
      <c r="T91" s="477"/>
      <c r="U91" s="477"/>
      <c r="V91" s="610"/>
      <c r="W91" s="610"/>
      <c r="X91" s="477"/>
      <c r="Y91" s="477"/>
      <c r="Z91" s="477"/>
    </row>
    <row r="92" spans="1:26" x14ac:dyDescent="0.2">
      <c r="C92" s="477"/>
      <c r="D92" s="477"/>
      <c r="E92" s="477"/>
      <c r="F92" s="477"/>
      <c r="G92" s="610"/>
      <c r="H92" s="610"/>
      <c r="I92" s="477"/>
      <c r="J92" s="477"/>
      <c r="L92" s="610"/>
      <c r="M92" s="610"/>
      <c r="N92" s="477"/>
      <c r="O92" s="477"/>
      <c r="P92" s="566"/>
      <c r="Q92" s="610"/>
      <c r="R92" s="610"/>
      <c r="S92" s="477"/>
      <c r="T92" s="477"/>
      <c r="U92" s="477"/>
      <c r="V92" s="610"/>
      <c r="W92" s="610"/>
      <c r="X92" s="477"/>
      <c r="Y92" s="477"/>
      <c r="Z92" s="477"/>
    </row>
    <row r="93" spans="1:26" x14ac:dyDescent="0.2">
      <c r="C93" s="477"/>
      <c r="D93" s="477"/>
      <c r="E93" s="477"/>
      <c r="F93" s="477"/>
      <c r="G93" s="610"/>
      <c r="H93" s="610"/>
      <c r="I93" s="477"/>
      <c r="J93" s="477"/>
      <c r="L93" s="610"/>
      <c r="M93" s="610"/>
      <c r="N93" s="477"/>
      <c r="O93" s="477"/>
      <c r="P93" s="566"/>
      <c r="Q93" s="610"/>
      <c r="R93" s="610"/>
      <c r="S93" s="477"/>
      <c r="T93" s="477"/>
      <c r="U93" s="477"/>
      <c r="V93" s="610"/>
      <c r="W93" s="610"/>
      <c r="X93" s="477"/>
      <c r="Y93" s="477"/>
      <c r="Z93" s="477"/>
    </row>
    <row r="94" spans="1:26" x14ac:dyDescent="0.2">
      <c r="C94" s="477"/>
      <c r="D94" s="477"/>
      <c r="E94" s="477"/>
      <c r="F94" s="477"/>
      <c r="G94" s="610"/>
      <c r="H94" s="610"/>
      <c r="I94" s="477"/>
      <c r="J94" s="477"/>
      <c r="L94" s="610"/>
      <c r="M94" s="610"/>
      <c r="N94" s="477"/>
      <c r="O94" s="477"/>
      <c r="P94" s="566"/>
      <c r="Q94" s="610"/>
      <c r="R94" s="610"/>
      <c r="S94" s="477"/>
      <c r="T94" s="477"/>
      <c r="U94" s="477"/>
      <c r="V94" s="610"/>
      <c r="W94" s="610"/>
      <c r="X94" s="477"/>
      <c r="Y94" s="477"/>
      <c r="Z94" s="477"/>
    </row>
    <row r="95" spans="1:26" x14ac:dyDescent="0.2">
      <c r="C95" s="477"/>
      <c r="D95" s="477"/>
      <c r="E95" s="477"/>
      <c r="F95" s="477"/>
      <c r="G95" s="610"/>
      <c r="H95" s="610"/>
      <c r="I95" s="477"/>
      <c r="J95" s="477"/>
      <c r="L95" s="610"/>
      <c r="M95" s="610"/>
      <c r="N95" s="477"/>
      <c r="O95" s="477"/>
      <c r="P95" s="477"/>
      <c r="Q95" s="610"/>
      <c r="R95" s="610"/>
      <c r="S95" s="477"/>
      <c r="T95" s="477"/>
      <c r="U95" s="477"/>
      <c r="V95" s="610"/>
      <c r="W95" s="610"/>
      <c r="X95" s="477"/>
      <c r="Y95" s="477"/>
      <c r="Z95" s="477"/>
    </row>
    <row r="96" spans="1:26" x14ac:dyDescent="0.2">
      <c r="C96" s="477"/>
      <c r="D96" s="477"/>
      <c r="E96" s="477"/>
      <c r="F96" s="477"/>
      <c r="G96" s="610"/>
      <c r="H96" s="610"/>
      <c r="I96" s="477"/>
      <c r="J96" s="477"/>
      <c r="L96" s="610"/>
      <c r="M96" s="610"/>
      <c r="N96" s="477"/>
      <c r="O96" s="477"/>
      <c r="P96" s="477"/>
      <c r="Q96" s="610"/>
      <c r="R96" s="610"/>
      <c r="S96" s="477"/>
      <c r="T96" s="477"/>
      <c r="U96" s="477"/>
      <c r="V96" s="610"/>
      <c r="W96" s="610"/>
      <c r="X96" s="477"/>
      <c r="Y96" s="477"/>
      <c r="Z96" s="477"/>
    </row>
    <row r="97" spans="3:26" x14ac:dyDescent="0.2">
      <c r="C97" s="477"/>
      <c r="D97" s="477"/>
      <c r="E97" s="477"/>
      <c r="F97" s="477"/>
      <c r="G97" s="610"/>
      <c r="H97" s="610"/>
      <c r="I97" s="477"/>
      <c r="J97" s="477"/>
      <c r="L97" s="610"/>
      <c r="M97" s="610"/>
      <c r="N97" s="477"/>
      <c r="O97" s="477"/>
      <c r="P97" s="477"/>
      <c r="Q97" s="610"/>
      <c r="R97" s="610"/>
      <c r="S97" s="477"/>
      <c r="T97" s="477"/>
      <c r="U97" s="477"/>
      <c r="V97" s="610"/>
      <c r="W97" s="610"/>
      <c r="X97" s="477"/>
      <c r="Y97" s="477"/>
      <c r="Z97" s="477"/>
    </row>
    <row r="98" spans="3:26" x14ac:dyDescent="0.2">
      <c r="C98" s="477"/>
      <c r="D98" s="477"/>
      <c r="E98" s="477"/>
      <c r="F98" s="477"/>
      <c r="G98" s="610"/>
      <c r="H98" s="610"/>
      <c r="I98" s="477"/>
      <c r="J98" s="477"/>
      <c r="L98" s="610"/>
      <c r="M98" s="610"/>
      <c r="N98" s="477"/>
      <c r="O98" s="477"/>
      <c r="P98" s="477"/>
      <c r="Q98" s="610"/>
      <c r="R98" s="610"/>
      <c r="S98" s="477"/>
      <c r="T98" s="477"/>
      <c r="U98" s="477"/>
      <c r="V98" s="610"/>
      <c r="W98" s="610"/>
      <c r="X98" s="477"/>
      <c r="Y98" s="477"/>
      <c r="Z98" s="477"/>
    </row>
    <row r="99" spans="3:26" x14ac:dyDescent="0.2">
      <c r="C99" s="477"/>
      <c r="D99" s="477"/>
      <c r="E99" s="477"/>
      <c r="F99" s="477"/>
      <c r="G99" s="610"/>
      <c r="H99" s="610"/>
      <c r="I99" s="477"/>
      <c r="J99" s="477"/>
      <c r="L99" s="610"/>
      <c r="M99" s="610"/>
      <c r="N99" s="477"/>
      <c r="O99" s="477"/>
      <c r="P99" s="477"/>
      <c r="Q99" s="610"/>
      <c r="R99" s="610"/>
      <c r="S99" s="477"/>
      <c r="T99" s="477"/>
      <c r="U99" s="477"/>
      <c r="V99" s="610"/>
      <c r="W99" s="610"/>
      <c r="X99" s="477"/>
      <c r="Y99" s="477"/>
      <c r="Z99" s="477"/>
    </row>
    <row r="100" spans="3:26" x14ac:dyDescent="0.2">
      <c r="C100" s="477"/>
      <c r="D100" s="477"/>
      <c r="E100" s="477"/>
      <c r="F100" s="477"/>
      <c r="G100" s="610"/>
      <c r="H100" s="610"/>
      <c r="I100" s="477"/>
      <c r="J100" s="477"/>
      <c r="L100" s="610"/>
      <c r="M100" s="610"/>
      <c r="N100" s="477"/>
      <c r="O100" s="477"/>
      <c r="P100" s="477"/>
      <c r="Q100" s="610"/>
      <c r="R100" s="610"/>
      <c r="S100" s="477"/>
      <c r="T100" s="477"/>
      <c r="U100" s="477"/>
      <c r="V100" s="610"/>
      <c r="W100" s="610"/>
      <c r="X100" s="477"/>
      <c r="Y100" s="477"/>
      <c r="Z100" s="477"/>
    </row>
    <row r="101" spans="3:26" x14ac:dyDescent="0.2">
      <c r="C101" s="477"/>
      <c r="D101" s="477"/>
      <c r="E101" s="477"/>
      <c r="F101" s="477"/>
      <c r="G101" s="610"/>
      <c r="H101" s="610"/>
      <c r="I101" s="477"/>
      <c r="J101" s="477"/>
      <c r="L101" s="610"/>
      <c r="M101" s="610"/>
      <c r="N101" s="477"/>
      <c r="O101" s="477"/>
      <c r="P101" s="477"/>
      <c r="Q101" s="610"/>
      <c r="R101" s="610"/>
      <c r="S101" s="477"/>
      <c r="T101" s="477"/>
      <c r="U101" s="477"/>
      <c r="V101" s="610"/>
      <c r="W101" s="610"/>
      <c r="X101" s="477"/>
      <c r="Y101" s="477"/>
      <c r="Z101" s="477"/>
    </row>
    <row r="102" spans="3:26" x14ac:dyDescent="0.2">
      <c r="C102" s="477"/>
      <c r="D102" s="477"/>
      <c r="E102" s="477"/>
      <c r="F102" s="477"/>
      <c r="G102" s="610"/>
      <c r="H102" s="610"/>
      <c r="I102" s="477"/>
      <c r="J102" s="477"/>
      <c r="L102" s="610"/>
      <c r="M102" s="610"/>
      <c r="N102" s="477"/>
      <c r="O102" s="477"/>
      <c r="P102" s="477"/>
      <c r="Q102" s="610"/>
      <c r="R102" s="610"/>
      <c r="S102" s="477"/>
      <c r="T102" s="477"/>
      <c r="U102" s="477"/>
      <c r="V102" s="610"/>
      <c r="W102" s="610"/>
      <c r="X102" s="477"/>
      <c r="Y102" s="477"/>
      <c r="Z102" s="477"/>
    </row>
    <row r="103" spans="3:26" x14ac:dyDescent="0.2">
      <c r="C103" s="477"/>
      <c r="D103" s="477"/>
      <c r="E103" s="477"/>
      <c r="F103" s="477"/>
      <c r="G103" s="610"/>
      <c r="H103" s="610"/>
      <c r="I103" s="477"/>
      <c r="J103" s="477"/>
      <c r="L103" s="610"/>
      <c r="M103" s="610"/>
      <c r="N103" s="477"/>
      <c r="O103" s="477"/>
      <c r="P103" s="477"/>
      <c r="Q103" s="610"/>
      <c r="R103" s="610"/>
      <c r="S103" s="477"/>
      <c r="T103" s="477"/>
      <c r="U103" s="477"/>
      <c r="V103" s="610"/>
      <c r="W103" s="610"/>
      <c r="X103" s="477"/>
      <c r="Y103" s="477"/>
      <c r="Z103" s="477"/>
    </row>
    <row r="104" spans="3:26" x14ac:dyDescent="0.2">
      <c r="C104" s="477"/>
      <c r="D104" s="477"/>
      <c r="E104" s="477"/>
      <c r="F104" s="477"/>
      <c r="G104" s="610"/>
      <c r="H104" s="610"/>
      <c r="I104" s="477"/>
      <c r="J104" s="477"/>
      <c r="L104" s="610"/>
      <c r="M104" s="610"/>
      <c r="N104" s="477"/>
      <c r="O104" s="477"/>
      <c r="P104" s="477"/>
      <c r="Q104" s="610"/>
      <c r="R104" s="610"/>
      <c r="S104" s="477"/>
      <c r="T104" s="477"/>
      <c r="U104" s="477"/>
      <c r="V104" s="610"/>
      <c r="W104" s="610"/>
      <c r="X104" s="477"/>
      <c r="Y104" s="477"/>
      <c r="Z104" s="477"/>
    </row>
    <row r="105" spans="3:26" x14ac:dyDescent="0.2">
      <c r="C105" s="477"/>
      <c r="D105" s="477"/>
      <c r="E105" s="477"/>
      <c r="F105" s="477"/>
      <c r="G105" s="610"/>
      <c r="H105" s="610"/>
      <c r="I105" s="477"/>
      <c r="J105" s="477"/>
      <c r="L105" s="610"/>
      <c r="M105" s="610"/>
      <c r="N105" s="477"/>
      <c r="O105" s="477"/>
      <c r="P105" s="477"/>
      <c r="Q105" s="610"/>
      <c r="R105" s="610"/>
      <c r="S105" s="477"/>
      <c r="T105" s="477"/>
      <c r="U105" s="477"/>
      <c r="V105" s="610"/>
      <c r="W105" s="610"/>
      <c r="X105" s="477"/>
      <c r="Y105" s="477"/>
      <c r="Z105" s="477"/>
    </row>
    <row r="106" spans="3:26" x14ac:dyDescent="0.2">
      <c r="C106" s="477"/>
      <c r="D106" s="477"/>
      <c r="E106" s="477"/>
      <c r="F106" s="477"/>
      <c r="G106" s="610"/>
      <c r="H106" s="610"/>
      <c r="I106" s="477"/>
      <c r="J106" s="477"/>
      <c r="L106" s="610"/>
      <c r="M106" s="610"/>
      <c r="N106" s="477"/>
      <c r="O106" s="477"/>
      <c r="P106" s="477"/>
      <c r="Q106" s="610"/>
      <c r="R106" s="610"/>
      <c r="S106" s="477"/>
      <c r="T106" s="477"/>
      <c r="U106" s="477"/>
      <c r="V106" s="610"/>
      <c r="W106" s="610"/>
      <c r="X106" s="477"/>
      <c r="Y106" s="477"/>
      <c r="Z106" s="477"/>
    </row>
    <row r="107" spans="3:26" x14ac:dyDescent="0.2">
      <c r="C107" s="477"/>
      <c r="D107" s="477"/>
      <c r="E107" s="477"/>
      <c r="F107" s="477"/>
      <c r="G107" s="610"/>
      <c r="H107" s="610"/>
      <c r="I107" s="477"/>
      <c r="J107" s="477"/>
      <c r="L107" s="610"/>
      <c r="M107" s="610"/>
      <c r="N107" s="477"/>
      <c r="O107" s="477"/>
      <c r="P107" s="477"/>
      <c r="Q107" s="610"/>
      <c r="R107" s="610"/>
      <c r="S107" s="477"/>
      <c r="T107" s="477"/>
      <c r="U107" s="477"/>
      <c r="V107" s="610"/>
      <c r="W107" s="610"/>
      <c r="X107" s="477"/>
      <c r="Y107" s="477"/>
      <c r="Z107" s="477"/>
    </row>
  </sheetData>
  <sheetProtection formatCells="0" formatColumns="0" formatRows="0"/>
  <mergeCells count="29">
    <mergeCell ref="I37:I43"/>
    <mergeCell ref="I11:I25"/>
    <mergeCell ref="N26:N35"/>
    <mergeCell ref="I26:I35"/>
    <mergeCell ref="X26:X35"/>
    <mergeCell ref="N11:N20"/>
    <mergeCell ref="S11:S20"/>
    <mergeCell ref="I4:I10"/>
    <mergeCell ref="N4:N10"/>
    <mergeCell ref="S4:S10"/>
    <mergeCell ref="X4:X10"/>
    <mergeCell ref="A87:G87"/>
    <mergeCell ref="A86:B86"/>
    <mergeCell ref="I52:I54"/>
    <mergeCell ref="A81:I81"/>
    <mergeCell ref="I60:I69"/>
    <mergeCell ref="I70:I79"/>
    <mergeCell ref="N52:N54"/>
    <mergeCell ref="N60:N69"/>
    <mergeCell ref="N70:N79"/>
    <mergeCell ref="S26:S35"/>
    <mergeCell ref="S52:S54"/>
    <mergeCell ref="S60:S69"/>
    <mergeCell ref="I55:I57"/>
    <mergeCell ref="S70:S79"/>
    <mergeCell ref="X52:X54"/>
    <mergeCell ref="X55:X57"/>
    <mergeCell ref="X60:X69"/>
    <mergeCell ref="X70:X79"/>
  </mergeCells>
  <pageMargins left="0.23622047244094491" right="0.23622047244094491" top="0.55118110236220474" bottom="0.35433070866141736" header="0.31496062992125984" footer="0.31496062992125984"/>
  <pageSetup paperSize="9" fitToHeight="0" orientation="portrait" verticalDpi="90" r:id="rId1"/>
  <headerFooter>
    <oddHeader>&amp;C&amp;"Times New Roman,Bold"&amp;14Bilance&amp;R&amp;"Times New Roman,Regular"&amp;14 3.pielikums</oddHeader>
    <oddFooter>&amp;C&amp;"Times New Roman,Regular"&amp;12&amp;F&amp;R&amp;"Times New Roman,Regular"&amp;12&amp;P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X57"/>
  <sheetViews>
    <sheetView zoomScaleNormal="100" zoomScaleSheetLayoutView="100" zoomScalePageLayoutView="40" workbookViewId="0">
      <pane xSplit="1" topLeftCell="B1" activePane="topRight" state="frozen"/>
      <selection pane="topRight" activeCell="X31" sqref="X31"/>
    </sheetView>
  </sheetViews>
  <sheetFormatPr defaultColWidth="9.140625" defaultRowHeight="15.75" outlineLevelCol="1" x14ac:dyDescent="0.2"/>
  <cols>
    <col min="1" max="1" width="8.42578125" style="167" bestFit="1" customWidth="1"/>
    <col min="2" max="2" width="32.42578125" style="32" customWidth="1"/>
    <col min="3" max="3" width="18.28515625" style="32" hidden="1" customWidth="1"/>
    <col min="4" max="4" width="20.85546875" style="168" hidden="1" customWidth="1"/>
    <col min="5" max="5" width="21.42578125" style="32" hidden="1" customWidth="1"/>
    <col min="6" max="6" width="20.85546875" style="32" hidden="1" customWidth="1" outlineLevel="1"/>
    <col min="7" max="7" width="22" style="48" hidden="1" customWidth="1" outlineLevel="1"/>
    <col min="8" max="8" width="21.5703125" style="48" hidden="1" customWidth="1" outlineLevel="1"/>
    <col min="9" max="9" width="37.28515625" style="32" hidden="1" customWidth="1" outlineLevel="1"/>
    <col min="10" max="10" width="21.42578125" style="32" hidden="1" customWidth="1" collapsed="1"/>
    <col min="11" max="11" width="20.85546875" style="32" hidden="1" customWidth="1" outlineLevel="1"/>
    <col min="12" max="12" width="22" style="48" hidden="1" customWidth="1" outlineLevel="1"/>
    <col min="13" max="13" width="21.5703125" style="48" hidden="1" customWidth="1" outlineLevel="1"/>
    <col min="14" max="14" width="37.28515625" style="32" hidden="1" customWidth="1" outlineLevel="1"/>
    <col min="15" max="15" width="21.42578125" style="32" hidden="1" customWidth="1" collapsed="1"/>
    <col min="16" max="16" width="20.85546875" style="32" hidden="1" customWidth="1" outlineLevel="1"/>
    <col min="17" max="17" width="22" style="48" hidden="1" customWidth="1" outlineLevel="1"/>
    <col min="18" max="18" width="21.5703125" style="48" hidden="1" customWidth="1" outlineLevel="1"/>
    <col min="19" max="19" width="37.28515625" style="32" hidden="1" customWidth="1" outlineLevel="1"/>
    <col min="20" max="20" width="21.42578125" style="32" customWidth="1" collapsed="1"/>
    <col min="21" max="21" width="20.85546875" style="32" customWidth="1" outlineLevel="1"/>
    <col min="22" max="22" width="22" style="48" customWidth="1" outlineLevel="1"/>
    <col min="23" max="23" width="21.5703125" style="48" customWidth="1" outlineLevel="1"/>
    <col min="24" max="24" width="37.28515625" style="32" customWidth="1" outlineLevel="1"/>
    <col min="25" max="16384" width="9.140625" style="32"/>
  </cols>
  <sheetData>
    <row r="1" spans="1:24" ht="63" x14ac:dyDescent="0.2">
      <c r="A1" s="23" t="s">
        <v>0</v>
      </c>
      <c r="B1" s="31" t="s">
        <v>297</v>
      </c>
      <c r="C1" s="24" t="s">
        <v>427</v>
      </c>
      <c r="D1" s="24" t="s">
        <v>428</v>
      </c>
      <c r="E1" s="24" t="s">
        <v>4</v>
      </c>
      <c r="F1" s="24" t="s">
        <v>5</v>
      </c>
      <c r="G1" s="25" t="s">
        <v>6</v>
      </c>
      <c r="H1" s="26" t="s">
        <v>7</v>
      </c>
      <c r="I1" s="24" t="s">
        <v>298</v>
      </c>
      <c r="J1" s="24" t="s">
        <v>9</v>
      </c>
      <c r="K1" s="24" t="s">
        <v>10</v>
      </c>
      <c r="L1" s="25" t="s">
        <v>6</v>
      </c>
      <c r="M1" s="26" t="s">
        <v>7</v>
      </c>
      <c r="N1" s="24" t="s">
        <v>298</v>
      </c>
      <c r="O1" s="24" t="s">
        <v>11</v>
      </c>
      <c r="P1" s="24" t="s">
        <v>12</v>
      </c>
      <c r="Q1" s="25" t="s">
        <v>6</v>
      </c>
      <c r="R1" s="26" t="s">
        <v>7</v>
      </c>
      <c r="S1" s="24" t="s">
        <v>298</v>
      </c>
      <c r="T1" s="24" t="s">
        <v>13</v>
      </c>
      <c r="U1" s="24" t="s">
        <v>14</v>
      </c>
      <c r="V1" s="25" t="s">
        <v>6</v>
      </c>
      <c r="W1" s="26" t="s">
        <v>7</v>
      </c>
      <c r="X1" s="24" t="s">
        <v>298</v>
      </c>
    </row>
    <row r="2" spans="1:24" ht="12" customHeight="1" x14ac:dyDescent="0.2">
      <c r="A2" s="33">
        <v>1</v>
      </c>
      <c r="B2" s="24">
        <v>2</v>
      </c>
      <c r="C2" s="33">
        <v>3</v>
      </c>
      <c r="D2" s="24">
        <v>4</v>
      </c>
      <c r="E2" s="33">
        <v>5</v>
      </c>
      <c r="F2" s="24">
        <v>6</v>
      </c>
      <c r="G2" s="33">
        <v>7</v>
      </c>
      <c r="H2" s="24">
        <v>8</v>
      </c>
      <c r="I2" s="33">
        <v>9</v>
      </c>
      <c r="J2" s="33">
        <v>10</v>
      </c>
      <c r="K2" s="24">
        <v>11</v>
      </c>
      <c r="L2" s="33">
        <v>12</v>
      </c>
      <c r="M2" s="24">
        <v>13</v>
      </c>
      <c r="N2" s="33">
        <v>14</v>
      </c>
      <c r="O2" s="24">
        <v>15</v>
      </c>
      <c r="P2" s="33">
        <v>16</v>
      </c>
      <c r="Q2" s="24">
        <v>17</v>
      </c>
      <c r="R2" s="33">
        <v>18</v>
      </c>
      <c r="S2" s="33">
        <v>19</v>
      </c>
      <c r="T2" s="24">
        <v>20</v>
      </c>
      <c r="U2" s="33">
        <v>21</v>
      </c>
      <c r="V2" s="24">
        <v>22</v>
      </c>
      <c r="W2" s="33">
        <v>23</v>
      </c>
      <c r="X2" s="24">
        <v>24</v>
      </c>
    </row>
    <row r="3" spans="1:24" ht="28.5" customHeight="1" x14ac:dyDescent="0.2">
      <c r="A3" s="92">
        <v>10000</v>
      </c>
      <c r="B3" s="45" t="s">
        <v>429</v>
      </c>
      <c r="C3" s="94">
        <v>341159.26999999559</v>
      </c>
      <c r="D3" s="94">
        <v>1217329.8099999893</v>
      </c>
      <c r="E3" s="94">
        <v>1217329.8099999893</v>
      </c>
      <c r="F3" s="94">
        <v>1217329.8099999893</v>
      </c>
      <c r="G3" s="95">
        <f>F3-E3</f>
        <v>0</v>
      </c>
      <c r="H3" s="29">
        <f>IFERROR(G3/ABS(E3), "-")</f>
        <v>0</v>
      </c>
      <c r="I3" s="294"/>
      <c r="J3" s="94">
        <v>1217329.8099999893</v>
      </c>
      <c r="K3" s="94">
        <v>1217329.8099999893</v>
      </c>
      <c r="L3" s="95">
        <f>K3-J3</f>
        <v>0</v>
      </c>
      <c r="M3" s="29">
        <f>IFERROR(L3/ABS(J3), "-")</f>
        <v>0</v>
      </c>
      <c r="N3" s="294"/>
      <c r="O3" s="94">
        <v>1217329.8099999893</v>
      </c>
      <c r="P3" s="94">
        <v>1217329.8099999893</v>
      </c>
      <c r="Q3" s="95">
        <f>P3-O3</f>
        <v>0</v>
      </c>
      <c r="R3" s="29">
        <f>IFERROR(Q3/ABS(O3), "-")</f>
        <v>0</v>
      </c>
      <c r="S3" s="294"/>
      <c r="T3" s="94">
        <v>1217329.8099999893</v>
      </c>
      <c r="U3" s="94">
        <v>1217329.8099999893</v>
      </c>
      <c r="V3" s="95">
        <f>U3-T3</f>
        <v>0</v>
      </c>
      <c r="W3" s="29">
        <f>IFERROR(V3/ABS(T3), "-")</f>
        <v>0</v>
      </c>
      <c r="X3" s="784"/>
    </row>
    <row r="4" spans="1:24" ht="15.6" customHeight="1" x14ac:dyDescent="0.2">
      <c r="A4" s="287" t="s">
        <v>430</v>
      </c>
      <c r="B4" s="958">
        <v>159130</v>
      </c>
      <c r="C4" s="958"/>
      <c r="D4" s="958"/>
      <c r="E4" s="958"/>
      <c r="F4" s="958"/>
      <c r="G4" s="958"/>
      <c r="H4" s="288"/>
      <c r="I4" s="289"/>
      <c r="J4" s="290"/>
      <c r="K4" s="290"/>
      <c r="L4" s="290"/>
      <c r="M4" s="288"/>
      <c r="N4" s="289"/>
      <c r="O4" s="290"/>
      <c r="P4" s="290"/>
      <c r="Q4" s="290"/>
      <c r="R4" s="288"/>
      <c r="S4" s="289"/>
      <c r="T4" s="290"/>
      <c r="U4" s="290"/>
      <c r="V4" s="290"/>
      <c r="W4" s="288"/>
      <c r="X4" s="791"/>
    </row>
    <row r="5" spans="1:24" ht="15.6" customHeight="1" x14ac:dyDescent="0.2">
      <c r="A5" s="92">
        <v>11000</v>
      </c>
      <c r="B5" s="45" t="s">
        <v>431</v>
      </c>
      <c r="C5" s="93">
        <f>C6+C11+C12+C13+C14+C15</f>
        <v>29208883.369999997</v>
      </c>
      <c r="D5" s="93">
        <v>29508617</v>
      </c>
      <c r="E5" s="93">
        <f>E6+E11+E12+E13+E14+E15</f>
        <v>7631850</v>
      </c>
      <c r="F5" s="93">
        <f>F6+F11+F12+F13+F14+F15</f>
        <v>8030878.879999999</v>
      </c>
      <c r="G5" s="96">
        <f t="shared" ref="G5:G19" si="0">F5-E5</f>
        <v>399028.87999999896</v>
      </c>
      <c r="H5" s="97">
        <f t="shared" ref="H5:H54" si="1">IFERROR(G5/ABS(E5), "-")</f>
        <v>5.2284685888742438E-2</v>
      </c>
      <c r="I5" s="292"/>
      <c r="J5" s="93">
        <f>J6+J11+J12+J13+J14+J15</f>
        <v>14925778</v>
      </c>
      <c r="K5" s="93">
        <f>K6+K11+K12+K13+K14+K15</f>
        <v>15754004.560000001</v>
      </c>
      <c r="L5" s="96">
        <f t="shared" ref="L5:L19" si="2">K5-J5</f>
        <v>828226.56000000052</v>
      </c>
      <c r="M5" s="97">
        <f t="shared" ref="M5:M17" si="3">IFERROR(L5/ABS(J5), "-")</f>
        <v>5.5489674307094783E-2</v>
      </c>
      <c r="N5" s="292"/>
      <c r="O5" s="93">
        <f>O6+O11+O12+O13+O14+O15</f>
        <v>22219549</v>
      </c>
      <c r="P5" s="93">
        <f>P6+P11+P12+P13+P14+P15</f>
        <v>23567302.060000002</v>
      </c>
      <c r="Q5" s="96">
        <f t="shared" ref="Q5:Q19" si="4">P5-O5</f>
        <v>1347753.0600000024</v>
      </c>
      <c r="R5" s="97">
        <f t="shared" ref="R5:R17" si="5">IFERROR(Q5/ABS(O5), "-")</f>
        <v>6.0656184335694772E-2</v>
      </c>
      <c r="S5" s="292"/>
      <c r="T5" s="93">
        <f>T6+T11+T12+T13+T14+T15</f>
        <v>29508617</v>
      </c>
      <c r="U5" s="93">
        <f>U6+U11+U12+U13+U14+U15</f>
        <v>32889354.079999994</v>
      </c>
      <c r="V5" s="96">
        <f t="shared" ref="V5:V19" si="6">U5-T5</f>
        <v>3380737.0799999945</v>
      </c>
      <c r="W5" s="97">
        <f t="shared" ref="W5:W17" si="7">IFERROR(V5/ABS(T5), "-")</f>
        <v>0.11456779150307161</v>
      </c>
      <c r="X5" s="785"/>
    </row>
    <row r="6" spans="1:24" ht="15.6" customHeight="1" x14ac:dyDescent="0.2">
      <c r="A6" s="49">
        <v>11100</v>
      </c>
      <c r="B6" s="50" t="s">
        <v>432</v>
      </c>
      <c r="C6" s="51">
        <f>C7+C8+C9+C10</f>
        <v>26578734.949999999</v>
      </c>
      <c r="D6" s="51">
        <v>26450464</v>
      </c>
      <c r="E6" s="171">
        <f>E7+E9</f>
        <v>6827510</v>
      </c>
      <c r="F6" s="171">
        <f>F7+F9</f>
        <v>7155925.1799999997</v>
      </c>
      <c r="G6" s="52">
        <f t="shared" si="0"/>
        <v>328415.1799999997</v>
      </c>
      <c r="H6" s="53">
        <f t="shared" si="1"/>
        <v>4.810175012559479E-2</v>
      </c>
      <c r="I6" s="54"/>
      <c r="J6" s="171">
        <f>J7+J9</f>
        <v>13368495</v>
      </c>
      <c r="K6" s="171">
        <f>K7+K9</f>
        <v>14051623.15</v>
      </c>
      <c r="L6" s="52">
        <f t="shared" si="2"/>
        <v>683128.15000000037</v>
      </c>
      <c r="M6" s="53">
        <f t="shared" si="3"/>
        <v>5.1099854546080195E-2</v>
      </c>
      <c r="N6" s="54"/>
      <c r="O6" s="171">
        <f>O7+O9</f>
        <v>19909479</v>
      </c>
      <c r="P6" s="171">
        <f>P7+P9</f>
        <v>21169315.530000001</v>
      </c>
      <c r="Q6" s="52">
        <f t="shared" si="4"/>
        <v>1259836.5300000012</v>
      </c>
      <c r="R6" s="53">
        <f t="shared" si="5"/>
        <v>6.3278226918946565E-2</v>
      </c>
      <c r="S6" s="54"/>
      <c r="T6" s="171">
        <f>T7+T9</f>
        <v>26450464</v>
      </c>
      <c r="U6" s="171">
        <f>U7+U9</f>
        <v>29697465.579999998</v>
      </c>
      <c r="V6" s="52">
        <f t="shared" si="6"/>
        <v>3247001.5799999982</v>
      </c>
      <c r="W6" s="53">
        <f t="shared" si="7"/>
        <v>0.12275783063767796</v>
      </c>
      <c r="X6" s="792"/>
    </row>
    <row r="7" spans="1:24" s="161" customFormat="1" ht="27.75" customHeight="1" x14ac:dyDescent="0.2">
      <c r="A7" s="49">
        <v>11110</v>
      </c>
      <c r="B7" s="55" t="s">
        <v>20</v>
      </c>
      <c r="C7" s="51">
        <v>25209597.199999999</v>
      </c>
      <c r="D7" s="51">
        <v>24940315</v>
      </c>
      <c r="E7" s="171">
        <v>6451624</v>
      </c>
      <c r="F7" s="171">
        <f>6687577.02+92366.59</f>
        <v>6779943.6099999994</v>
      </c>
      <c r="G7" s="52">
        <f t="shared" si="0"/>
        <v>328319.6099999994</v>
      </c>
      <c r="H7" s="53">
        <f t="shared" si="1"/>
        <v>5.0889452020142431E-2</v>
      </c>
      <c r="I7" s="56"/>
      <c r="J7" s="171">
        <v>12614521</v>
      </c>
      <c r="K7" s="171">
        <v>13304045.09</v>
      </c>
      <c r="L7" s="52">
        <f t="shared" si="2"/>
        <v>689524.08999999985</v>
      </c>
      <c r="M7" s="53">
        <f t="shared" si="3"/>
        <v>5.466113933299567E-2</v>
      </c>
      <c r="N7" s="56"/>
      <c r="O7" s="171">
        <v>18777418</v>
      </c>
      <c r="P7" s="171">
        <f>19955243.43+121936.21</f>
        <v>20077179.640000001</v>
      </c>
      <c r="Q7" s="52">
        <f t="shared" si="4"/>
        <v>1299761.6400000006</v>
      </c>
      <c r="R7" s="53">
        <f t="shared" si="5"/>
        <v>6.9219401730312477E-2</v>
      </c>
      <c r="S7" s="56"/>
      <c r="T7" s="171">
        <v>24940315</v>
      </c>
      <c r="U7" s="171">
        <f>28082403.02+190421.09</f>
        <v>28272824.109999999</v>
      </c>
      <c r="V7" s="52">
        <f t="shared" si="6"/>
        <v>3332509.1099999994</v>
      </c>
      <c r="W7" s="53">
        <f t="shared" si="7"/>
        <v>0.13361936727743814</v>
      </c>
      <c r="X7" s="793"/>
    </row>
    <row r="8" spans="1:24" s="162" customFormat="1" ht="28.5" customHeight="1" x14ac:dyDescent="0.2">
      <c r="A8" s="49">
        <v>11120</v>
      </c>
      <c r="B8" s="57" t="s">
        <v>30</v>
      </c>
      <c r="C8" s="51"/>
      <c r="D8" s="51"/>
      <c r="E8" s="171"/>
      <c r="F8" s="171"/>
      <c r="G8" s="52">
        <f t="shared" si="0"/>
        <v>0</v>
      </c>
      <c r="H8" s="53" t="str">
        <f t="shared" si="1"/>
        <v>-</v>
      </c>
      <c r="I8" s="56"/>
      <c r="J8" s="171"/>
      <c r="K8" s="171"/>
      <c r="L8" s="52">
        <f t="shared" si="2"/>
        <v>0</v>
      </c>
      <c r="M8" s="53" t="str">
        <f t="shared" si="3"/>
        <v>-</v>
      </c>
      <c r="N8" s="56"/>
      <c r="O8" s="171"/>
      <c r="P8" s="171"/>
      <c r="Q8" s="52">
        <f t="shared" si="4"/>
        <v>0</v>
      </c>
      <c r="R8" s="53" t="str">
        <f t="shared" si="5"/>
        <v>-</v>
      </c>
      <c r="S8" s="56"/>
      <c r="T8" s="171"/>
      <c r="U8" s="171"/>
      <c r="V8" s="52">
        <f t="shared" si="6"/>
        <v>0</v>
      </c>
      <c r="W8" s="53" t="str">
        <f t="shared" si="7"/>
        <v>-</v>
      </c>
      <c r="X8" s="793"/>
    </row>
    <row r="9" spans="1:24" s="162" customFormat="1" ht="29.25" customHeight="1" x14ac:dyDescent="0.2">
      <c r="A9" s="49">
        <v>11130</v>
      </c>
      <c r="B9" s="57" t="s">
        <v>36</v>
      </c>
      <c r="C9" s="51">
        <f>1368548.63+589.12</f>
        <v>1369137.75</v>
      </c>
      <c r="D9" s="51">
        <v>1510149</v>
      </c>
      <c r="E9" s="171">
        <v>375886</v>
      </c>
      <c r="F9" s="171">
        <v>375981.57</v>
      </c>
      <c r="G9" s="52">
        <f t="shared" si="0"/>
        <v>95.570000000006985</v>
      </c>
      <c r="H9" s="53">
        <f t="shared" si="1"/>
        <v>2.5425261914518494E-4</v>
      </c>
      <c r="I9" s="356"/>
      <c r="J9" s="171">
        <v>753974</v>
      </c>
      <c r="K9" s="171">
        <v>747578.06</v>
      </c>
      <c r="L9" s="52">
        <f t="shared" si="2"/>
        <v>-6395.9399999999441</v>
      </c>
      <c r="M9" s="53">
        <f t="shared" si="3"/>
        <v>-8.4829715613535008E-3</v>
      </c>
      <c r="N9" s="356"/>
      <c r="O9" s="171">
        <v>1132061</v>
      </c>
      <c r="P9" s="171">
        <f>1091452.09+683.8</f>
        <v>1092135.8900000001</v>
      </c>
      <c r="Q9" s="52">
        <f t="shared" si="4"/>
        <v>-39925.10999999987</v>
      </c>
      <c r="R9" s="53">
        <f t="shared" si="5"/>
        <v>-3.5267631337887156E-2</v>
      </c>
      <c r="S9" s="356"/>
      <c r="T9" s="171">
        <v>1510149</v>
      </c>
      <c r="U9" s="171">
        <v>1424641.47</v>
      </c>
      <c r="V9" s="52">
        <f t="shared" si="6"/>
        <v>-85507.530000000028</v>
      </c>
      <c r="W9" s="53">
        <f t="shared" si="7"/>
        <v>-5.6621916115562124E-2</v>
      </c>
      <c r="X9" s="794"/>
    </row>
    <row r="10" spans="1:24" s="162" customFormat="1" x14ac:dyDescent="0.2">
      <c r="A10" s="49">
        <v>11140</v>
      </c>
      <c r="B10" s="57" t="s">
        <v>42</v>
      </c>
      <c r="C10" s="51"/>
      <c r="D10" s="51"/>
      <c r="E10" s="171"/>
      <c r="F10" s="171"/>
      <c r="G10" s="52">
        <f t="shared" si="0"/>
        <v>0</v>
      </c>
      <c r="H10" s="53" t="str">
        <f t="shared" si="1"/>
        <v>-</v>
      </c>
      <c r="I10" s="56"/>
      <c r="J10" s="171"/>
      <c r="K10" s="171"/>
      <c r="L10" s="52">
        <f t="shared" si="2"/>
        <v>0</v>
      </c>
      <c r="M10" s="53" t="str">
        <f t="shared" si="3"/>
        <v>-</v>
      </c>
      <c r="N10" s="56"/>
      <c r="O10" s="171"/>
      <c r="P10" s="171"/>
      <c r="Q10" s="52">
        <f t="shared" si="4"/>
        <v>0</v>
      </c>
      <c r="R10" s="53" t="str">
        <f t="shared" si="5"/>
        <v>-</v>
      </c>
      <c r="S10" s="56"/>
      <c r="T10" s="171"/>
      <c r="U10" s="171">
        <v>683.8</v>
      </c>
      <c r="V10" s="52">
        <f t="shared" si="6"/>
        <v>683.8</v>
      </c>
      <c r="W10" s="53" t="str">
        <f t="shared" si="7"/>
        <v>-</v>
      </c>
      <c r="X10" s="793"/>
    </row>
    <row r="11" spans="1:24" ht="15.6" customHeight="1" x14ac:dyDescent="0.2">
      <c r="A11" s="49">
        <v>11200</v>
      </c>
      <c r="B11" s="58" t="s">
        <v>48</v>
      </c>
      <c r="C11" s="59"/>
      <c r="D11" s="59"/>
      <c r="E11" s="354"/>
      <c r="F11" s="354"/>
      <c r="G11" s="60">
        <f t="shared" si="0"/>
        <v>0</v>
      </c>
      <c r="H11" s="61" t="str">
        <f t="shared" si="1"/>
        <v>-</v>
      </c>
      <c r="I11" s="62"/>
      <c r="J11" s="354"/>
      <c r="K11" s="354"/>
      <c r="L11" s="60">
        <f t="shared" si="2"/>
        <v>0</v>
      </c>
      <c r="M11" s="61" t="str">
        <f t="shared" si="3"/>
        <v>-</v>
      </c>
      <c r="N11" s="62"/>
      <c r="O11" s="354"/>
      <c r="P11" s="354"/>
      <c r="Q11" s="60">
        <f t="shared" si="4"/>
        <v>0</v>
      </c>
      <c r="R11" s="61" t="str">
        <f t="shared" si="5"/>
        <v>-</v>
      </c>
      <c r="S11" s="62"/>
      <c r="T11" s="354"/>
      <c r="U11" s="354"/>
      <c r="V11" s="60">
        <f t="shared" si="6"/>
        <v>0</v>
      </c>
      <c r="W11" s="61" t="str">
        <f t="shared" si="7"/>
        <v>-</v>
      </c>
      <c r="X11" s="795"/>
    </row>
    <row r="12" spans="1:24" ht="29.25" customHeight="1" x14ac:dyDescent="0.2">
      <c r="A12" s="49">
        <v>11300</v>
      </c>
      <c r="B12" s="63" t="s">
        <v>54</v>
      </c>
      <c r="C12" s="59">
        <f>1699269.67+80458.9+3501.24</f>
        <v>1783229.8099999998</v>
      </c>
      <c r="D12" s="59">
        <v>2288422</v>
      </c>
      <c r="E12" s="354">
        <v>615238</v>
      </c>
      <c r="F12" s="354">
        <f>651805.69+8885.14+3+5.92+2158.75+1-0.54</f>
        <v>662858.96</v>
      </c>
      <c r="G12" s="60">
        <f t="shared" si="0"/>
        <v>47620.959999999963</v>
      </c>
      <c r="H12" s="61">
        <f t="shared" si="1"/>
        <v>7.7402501145897945E-2</v>
      </c>
      <c r="I12" s="62"/>
      <c r="J12" s="354">
        <v>1172219</v>
      </c>
      <c r="K12" s="354">
        <f>1267526.57+993214-972348.95</f>
        <v>1288391.6200000003</v>
      </c>
      <c r="L12" s="60">
        <f>K12-J12</f>
        <v>116172.62000000034</v>
      </c>
      <c r="M12" s="61">
        <f t="shared" si="3"/>
        <v>9.9104877160326135E-2</v>
      </c>
      <c r="N12" s="62"/>
      <c r="O12" s="354">
        <v>1726992</v>
      </c>
      <c r="P12" s="354">
        <f>1756789.44+57689.15+20816.65+26.77+7.7+7+50-21453.19</f>
        <v>1813933.5199999998</v>
      </c>
      <c r="Q12" s="60">
        <f t="shared" si="4"/>
        <v>86941.519999999786</v>
      </c>
      <c r="R12" s="61">
        <f t="shared" si="5"/>
        <v>5.0342746231597936E-2</v>
      </c>
      <c r="S12" s="62"/>
      <c r="T12" s="354">
        <v>2288422</v>
      </c>
      <c r="U12" s="354">
        <f>2284220.19+2378731.39-2338282.27+6780.99</f>
        <v>2331450.3000000003</v>
      </c>
      <c r="V12" s="60">
        <f t="shared" si="6"/>
        <v>43028.300000000279</v>
      </c>
      <c r="W12" s="61">
        <f t="shared" si="7"/>
        <v>1.880260721143228E-2</v>
      </c>
      <c r="X12" s="796"/>
    </row>
    <row r="13" spans="1:24" ht="63.75" customHeight="1" x14ac:dyDescent="0.2">
      <c r="A13" s="49">
        <v>11400</v>
      </c>
      <c r="B13" s="16" t="s">
        <v>66</v>
      </c>
      <c r="C13" s="64">
        <v>389445.63</v>
      </c>
      <c r="D13" s="64">
        <v>283792</v>
      </c>
      <c r="E13" s="81">
        <v>68527</v>
      </c>
      <c r="F13" s="81">
        <v>92011.88</v>
      </c>
      <c r="G13" s="65">
        <f t="shared" si="0"/>
        <v>23484.880000000005</v>
      </c>
      <c r="H13" s="39">
        <f t="shared" si="1"/>
        <v>0.34270988077692011</v>
      </c>
      <c r="I13" s="623" t="s">
        <v>433</v>
      </c>
      <c r="J13" s="81">
        <v>139178</v>
      </c>
      <c r="K13" s="81">
        <f>193176.1-52034.65-7874</f>
        <v>133267.45000000001</v>
      </c>
      <c r="L13" s="65">
        <f t="shared" si="2"/>
        <v>-5910.5499999999884</v>
      </c>
      <c r="M13" s="39">
        <f t="shared" si="3"/>
        <v>-4.246755952808625E-2</v>
      </c>
      <c r="N13" s="457"/>
      <c r="O13" s="81">
        <v>213088</v>
      </c>
      <c r="P13" s="81">
        <f>297793.55-108062.15+17848+70</f>
        <v>207649.4</v>
      </c>
      <c r="Q13" s="65">
        <f t="shared" si="4"/>
        <v>-5438.6000000000058</v>
      </c>
      <c r="R13" s="39">
        <f t="shared" si="5"/>
        <v>-2.5522788707013092E-2</v>
      </c>
      <c r="S13" s="457"/>
      <c r="T13" s="81">
        <v>283792</v>
      </c>
      <c r="U13" s="81">
        <f>408209.58-16523</f>
        <v>391686.58</v>
      </c>
      <c r="V13" s="65">
        <f t="shared" si="6"/>
        <v>107894.58000000002</v>
      </c>
      <c r="W13" s="39">
        <f t="shared" si="7"/>
        <v>0.38018894119636926</v>
      </c>
      <c r="X13" s="797" t="s">
        <v>434</v>
      </c>
    </row>
    <row r="14" spans="1:24" ht="75.75" customHeight="1" x14ac:dyDescent="0.2">
      <c r="A14" s="49">
        <v>11500</v>
      </c>
      <c r="B14" s="16" t="s">
        <v>435</v>
      </c>
      <c r="C14" s="64">
        <v>315086.14</v>
      </c>
      <c r="D14" s="64">
        <v>331373</v>
      </c>
      <c r="E14" s="81">
        <v>82879</v>
      </c>
      <c r="F14" s="81">
        <v>88409.31</v>
      </c>
      <c r="G14" s="65">
        <f t="shared" si="0"/>
        <v>5530.3099999999977</v>
      </c>
      <c r="H14" s="39">
        <f t="shared" si="1"/>
        <v>6.6727518430482968E-2</v>
      </c>
      <c r="I14" s="85"/>
      <c r="J14" s="81">
        <v>168479</v>
      </c>
      <c r="K14" s="81">
        <f>157044.67+52034.65</f>
        <v>209079.32</v>
      </c>
      <c r="L14" s="65">
        <f t="shared" si="2"/>
        <v>40600.320000000007</v>
      </c>
      <c r="M14" s="39">
        <f t="shared" si="3"/>
        <v>0.24098148730702346</v>
      </c>
      <c r="N14" s="623" t="s">
        <v>433</v>
      </c>
      <c r="O14" s="81">
        <v>254050</v>
      </c>
      <c r="P14" s="81">
        <f>244410.51+20365</f>
        <v>264775.51</v>
      </c>
      <c r="Q14" s="65">
        <f t="shared" si="4"/>
        <v>10725.510000000009</v>
      </c>
      <c r="R14" s="39">
        <f t="shared" si="5"/>
        <v>4.2218106671915015E-2</v>
      </c>
      <c r="S14" s="85"/>
      <c r="T14" s="81">
        <v>331373</v>
      </c>
      <c r="U14" s="81">
        <v>319490.06</v>
      </c>
      <c r="V14" s="65">
        <f t="shared" si="6"/>
        <v>-11882.940000000002</v>
      </c>
      <c r="W14" s="39">
        <f t="shared" si="7"/>
        <v>-3.5859710960156686E-2</v>
      </c>
      <c r="X14" s="790"/>
    </row>
    <row r="15" spans="1:24" ht="37.5" customHeight="1" x14ac:dyDescent="0.2">
      <c r="A15" s="49">
        <v>11600</v>
      </c>
      <c r="B15" s="66" t="s">
        <v>72</v>
      </c>
      <c r="C15" s="64">
        <v>142386.84</v>
      </c>
      <c r="D15" s="64">
        <v>154566</v>
      </c>
      <c r="E15" s="81">
        <v>37696</v>
      </c>
      <c r="F15" s="81">
        <v>31673.55</v>
      </c>
      <c r="G15" s="65">
        <f t="shared" si="0"/>
        <v>-6022.4500000000007</v>
      </c>
      <c r="H15" s="39">
        <f t="shared" si="1"/>
        <v>-0.15976363539898134</v>
      </c>
      <c r="I15" s="623" t="s">
        <v>436</v>
      </c>
      <c r="J15" s="81">
        <v>77407</v>
      </c>
      <c r="K15" s="81">
        <f>63769.02+7874</f>
        <v>71643.01999999999</v>
      </c>
      <c r="L15" s="65">
        <f t="shared" si="2"/>
        <v>-5763.9800000000105</v>
      </c>
      <c r="M15" s="39">
        <f t="shared" si="3"/>
        <v>-7.4463291433591414E-2</v>
      </c>
      <c r="N15" s="457"/>
      <c r="O15" s="81">
        <v>115940</v>
      </c>
      <c r="P15" s="81">
        <f>99538.1+12028+62</f>
        <v>111628.1</v>
      </c>
      <c r="Q15" s="65">
        <f t="shared" si="4"/>
        <v>-4311.8999999999942</v>
      </c>
      <c r="R15" s="39">
        <f t="shared" si="5"/>
        <v>-3.7190788338795876E-2</v>
      </c>
      <c r="S15" s="457"/>
      <c r="T15" s="81">
        <v>154566</v>
      </c>
      <c r="U15" s="81">
        <f>132738.56+16523</f>
        <v>149261.56</v>
      </c>
      <c r="V15" s="65">
        <f t="shared" si="6"/>
        <v>-5304.4400000000023</v>
      </c>
      <c r="W15" s="39">
        <f t="shared" si="7"/>
        <v>-3.4318284745674998E-2</v>
      </c>
      <c r="X15" s="798"/>
    </row>
    <row r="16" spans="1:24" ht="15.6" customHeight="1" x14ac:dyDescent="0.2">
      <c r="A16" s="92">
        <v>12000</v>
      </c>
      <c r="B16" s="45" t="s">
        <v>437</v>
      </c>
      <c r="C16" s="94">
        <f>C17+C18</f>
        <v>28358557.090000004</v>
      </c>
      <c r="D16" s="94">
        <v>29422272</v>
      </c>
      <c r="E16" s="94">
        <f>E17+E18</f>
        <v>7441294</v>
      </c>
      <c r="F16" s="94">
        <f>F17+F18</f>
        <v>7757942.9199999999</v>
      </c>
      <c r="G16" s="95">
        <f t="shared" si="0"/>
        <v>316648.91999999993</v>
      </c>
      <c r="H16" s="29">
        <f t="shared" si="1"/>
        <v>4.2552937701426652E-2</v>
      </c>
      <c r="I16" s="294"/>
      <c r="J16" s="94">
        <f>J17+J18</f>
        <v>14383978</v>
      </c>
      <c r="K16" s="94">
        <f>K17+K18</f>
        <v>15587798.43</v>
      </c>
      <c r="L16" s="95">
        <f t="shared" si="2"/>
        <v>1203820.4299999997</v>
      </c>
      <c r="M16" s="29">
        <f t="shared" si="3"/>
        <v>8.3691759678720293E-2</v>
      </c>
      <c r="N16" s="294"/>
      <c r="O16" s="94">
        <f>O17+O18</f>
        <v>21527749</v>
      </c>
      <c r="P16" s="94">
        <f>P17+P18</f>
        <v>23613264.48</v>
      </c>
      <c r="Q16" s="95">
        <f t="shared" si="4"/>
        <v>2085515.4800000004</v>
      </c>
      <c r="R16" s="29">
        <f t="shared" si="5"/>
        <v>9.6875687281563927E-2</v>
      </c>
      <c r="S16" s="294"/>
      <c r="T16" s="94">
        <f>T17+T18</f>
        <v>29422272</v>
      </c>
      <c r="U16" s="94">
        <f>U17+U18</f>
        <v>32044639.98</v>
      </c>
      <c r="V16" s="95">
        <f t="shared" si="6"/>
        <v>2622367.9800000004</v>
      </c>
      <c r="W16" s="29">
        <f t="shared" si="7"/>
        <v>8.9128670280799543E-2</v>
      </c>
      <c r="X16" s="784"/>
    </row>
    <row r="17" spans="1:24" ht="47.25" x14ac:dyDescent="0.2">
      <c r="A17" s="49">
        <v>12100</v>
      </c>
      <c r="B17" s="50" t="s">
        <v>438</v>
      </c>
      <c r="C17" s="59">
        <f>1733637.73</f>
        <v>1733637.73</v>
      </c>
      <c r="D17" s="59">
        <v>1919065</v>
      </c>
      <c r="E17" s="354">
        <v>462017</v>
      </c>
      <c r="F17" s="354">
        <v>569934.73</v>
      </c>
      <c r="G17" s="60">
        <f t="shared" si="0"/>
        <v>107917.72999999998</v>
      </c>
      <c r="H17" s="61">
        <f t="shared" si="1"/>
        <v>0.23357956525409235</v>
      </c>
      <c r="I17" s="625" t="s">
        <v>439</v>
      </c>
      <c r="J17" s="354">
        <v>900122</v>
      </c>
      <c r="K17" s="354">
        <v>1031222.96</v>
      </c>
      <c r="L17" s="60">
        <f t="shared" si="2"/>
        <v>131100.95999999996</v>
      </c>
      <c r="M17" s="61">
        <f t="shared" si="3"/>
        <v>0.14564798993914155</v>
      </c>
      <c r="N17" s="355"/>
      <c r="O17" s="354">
        <v>1382474</v>
      </c>
      <c r="P17" s="354">
        <v>1513575.46</v>
      </c>
      <c r="Q17" s="60">
        <f t="shared" si="4"/>
        <v>131101.45999999996</v>
      </c>
      <c r="R17" s="61">
        <f t="shared" si="5"/>
        <v>9.4831049263855924E-2</v>
      </c>
      <c r="S17" s="355"/>
      <c r="T17" s="354">
        <v>1919065</v>
      </c>
      <c r="U17" s="354">
        <v>2017754.66</v>
      </c>
      <c r="V17" s="60">
        <f t="shared" si="6"/>
        <v>98689.659999999916</v>
      </c>
      <c r="W17" s="61">
        <f t="shared" si="7"/>
        <v>5.1425907929121689E-2</v>
      </c>
      <c r="X17" s="799"/>
    </row>
    <row r="18" spans="1:24" ht="42" customHeight="1" x14ac:dyDescent="0.2">
      <c r="A18" s="49">
        <v>12200</v>
      </c>
      <c r="B18" s="50" t="s">
        <v>440</v>
      </c>
      <c r="C18" s="59">
        <f>28321965.52+2777.76-C17+32981.67+832.14</f>
        <v>26624919.360000003</v>
      </c>
      <c r="D18" s="59">
        <v>27503207</v>
      </c>
      <c r="E18" s="354">
        <f>7339112-462017-21771+123953</f>
        <v>6979277</v>
      </c>
      <c r="F18" s="354">
        <f>3060027.39-F17+4689950.79+7964.74</f>
        <v>7188008.1900000004</v>
      </c>
      <c r="G18" s="60">
        <f t="shared" si="0"/>
        <v>208731.19000000041</v>
      </c>
      <c r="H18" s="61">
        <f>IFERROR(G18/ABS(E18), "-")</f>
        <v>2.9907279794167851E-2</v>
      </c>
      <c r="I18" s="622"/>
      <c r="J18" s="354">
        <f>14817175-J17-40746-392451</f>
        <v>13483856</v>
      </c>
      <c r="K18" s="354">
        <f>14542851+13725.47-1</f>
        <v>14556575.470000001</v>
      </c>
      <c r="L18" s="60">
        <f t="shared" si="2"/>
        <v>1072719.4700000007</v>
      </c>
      <c r="M18" s="61">
        <f>IFERROR(L18/ABS(J18), "-")</f>
        <v>7.9555838478251373E-2</v>
      </c>
      <c r="N18" s="62"/>
      <c r="O18" s="354">
        <f>22347765-O17-61506-758510</f>
        <v>20145275</v>
      </c>
      <c r="P18" s="354">
        <v>22099689.02</v>
      </c>
      <c r="Q18" s="60">
        <f t="shared" si="4"/>
        <v>1954414.0199999996</v>
      </c>
      <c r="R18" s="61">
        <f>IFERROR(Q18/ABS(O18), "-")</f>
        <v>9.7016001022572268E-2</v>
      </c>
      <c r="S18" s="62"/>
      <c r="T18" s="59">
        <f>30192902-T17-80738-689892</f>
        <v>27503207</v>
      </c>
      <c r="U18" s="354">
        <f>32020251.72-U17+24388.26</f>
        <v>30026885.32</v>
      </c>
      <c r="V18" s="60">
        <f t="shared" si="6"/>
        <v>2523678.3200000003</v>
      </c>
      <c r="W18" s="61">
        <f>IFERROR(V18/ABS(T18), "-")</f>
        <v>9.1759419910558082E-2</v>
      </c>
      <c r="X18" s="795"/>
    </row>
    <row r="19" spans="1:24" ht="31.5" x14ac:dyDescent="0.2">
      <c r="A19" s="92">
        <v>13000</v>
      </c>
      <c r="B19" s="98" t="s">
        <v>441</v>
      </c>
      <c r="C19" s="94">
        <f>C5-C16</f>
        <v>850326.27999999374</v>
      </c>
      <c r="D19" s="94">
        <v>86345</v>
      </c>
      <c r="E19" s="94">
        <f>E5-E16</f>
        <v>190556</v>
      </c>
      <c r="F19" s="94">
        <f>F5-F16</f>
        <v>272935.95999999903</v>
      </c>
      <c r="G19" s="95">
        <f t="shared" si="0"/>
        <v>82379.959999999031</v>
      </c>
      <c r="H19" s="29">
        <f>IFERROR(G19/ABS(E19), "-")</f>
        <v>0.43231365058040172</v>
      </c>
      <c r="I19" s="294"/>
      <c r="J19" s="94">
        <f>J5-J16</f>
        <v>541800</v>
      </c>
      <c r="K19" s="94">
        <f>K5-K16</f>
        <v>166206.13000000082</v>
      </c>
      <c r="L19" s="95">
        <f t="shared" si="2"/>
        <v>-375593.86999999918</v>
      </c>
      <c r="M19" s="29">
        <f>IFERROR(L19/ABS(J19), "-")</f>
        <v>-0.69323342561830781</v>
      </c>
      <c r="N19" s="294"/>
      <c r="O19" s="94">
        <f>O5-O16</f>
        <v>691800</v>
      </c>
      <c r="P19" s="94">
        <f>P5-P16</f>
        <v>-45962.419999998063</v>
      </c>
      <c r="Q19" s="95">
        <f t="shared" si="4"/>
        <v>-737762.41999999806</v>
      </c>
      <c r="R19" s="29">
        <f>IFERROR(Q19/ABS(O19), "-")</f>
        <v>-1.0664388840705379</v>
      </c>
      <c r="S19" s="294"/>
      <c r="T19" s="94">
        <f>T5-T16</f>
        <v>86345</v>
      </c>
      <c r="U19" s="94">
        <f>U5-U16</f>
        <v>844714.09999999404</v>
      </c>
      <c r="V19" s="95">
        <f t="shared" si="6"/>
        <v>758369.09999999404</v>
      </c>
      <c r="W19" s="29">
        <f>IFERROR(V19/ABS(T19), "-")</f>
        <v>8.783011176095826</v>
      </c>
      <c r="X19" s="784"/>
    </row>
    <row r="20" spans="1:24" ht="34.5" customHeight="1" x14ac:dyDescent="0.2">
      <c r="A20" s="287" t="s">
        <v>442</v>
      </c>
      <c r="B20" s="958" t="s">
        <v>443</v>
      </c>
      <c r="C20" s="958"/>
      <c r="D20" s="958"/>
      <c r="E20" s="958"/>
      <c r="F20" s="958"/>
      <c r="G20" s="958"/>
      <c r="H20" s="430" t="str">
        <f t="shared" ref="H20:H34" si="8">IFERROR(G20/ABS(E20), "-")</f>
        <v>-</v>
      </c>
      <c r="I20" s="289"/>
      <c r="J20" s="290"/>
      <c r="K20" s="290"/>
      <c r="L20" s="290"/>
      <c r="M20" s="430" t="str">
        <f t="shared" ref="M20:M54" si="9">IFERROR(L20/ABS(J20), "-")</f>
        <v>-</v>
      </c>
      <c r="N20" s="289"/>
      <c r="O20" s="290"/>
      <c r="P20" s="290"/>
      <c r="Q20" s="290"/>
      <c r="R20" s="430" t="str">
        <f t="shared" ref="R20:R54" si="10">IFERROR(Q20/ABS(O20), "-")</f>
        <v>-</v>
      </c>
      <c r="S20" s="289"/>
      <c r="T20" s="290"/>
      <c r="U20" s="290"/>
      <c r="V20" s="290"/>
      <c r="W20" s="430" t="str">
        <f t="shared" ref="W20:W54" si="11">IFERROR(V20/ABS(T20), "-")</f>
        <v>-</v>
      </c>
      <c r="X20" s="791"/>
    </row>
    <row r="21" spans="1:24" ht="15.6" customHeight="1" x14ac:dyDescent="0.2">
      <c r="A21" s="99">
        <v>14000</v>
      </c>
      <c r="B21" s="100" t="s">
        <v>444</v>
      </c>
      <c r="C21" s="101">
        <f t="shared" ref="C21" si="12">C22+C23+C24+C25+C26</f>
        <v>0</v>
      </c>
      <c r="D21" s="101">
        <f t="shared" ref="D21:E21" si="13">D22+D23+D24+D25+D26</f>
        <v>0</v>
      </c>
      <c r="E21" s="101">
        <f t="shared" si="13"/>
        <v>0</v>
      </c>
      <c r="F21" s="101">
        <v>0</v>
      </c>
      <c r="G21" s="102">
        <f t="shared" ref="G21:G33" si="14">F21-E21</f>
        <v>0</v>
      </c>
      <c r="H21" s="29" t="str">
        <f t="shared" si="8"/>
        <v>-</v>
      </c>
      <c r="I21" s="293"/>
      <c r="J21" s="101">
        <f t="shared" ref="J21" si="15">J22+J23+J24+J25+J26</f>
        <v>0</v>
      </c>
      <c r="K21" s="101">
        <v>0</v>
      </c>
      <c r="L21" s="102">
        <f t="shared" ref="L21:L26" si="16">K21-J21</f>
        <v>0</v>
      </c>
      <c r="M21" s="29" t="str">
        <f t="shared" si="9"/>
        <v>-</v>
      </c>
      <c r="N21" s="293"/>
      <c r="O21" s="101">
        <f t="shared" ref="O21" si="17">O22+O23+O24+O25+O26</f>
        <v>0</v>
      </c>
      <c r="P21" s="101">
        <v>0</v>
      </c>
      <c r="Q21" s="102">
        <f t="shared" ref="Q21:Q26" si="18">P21-O21</f>
        <v>0</v>
      </c>
      <c r="R21" s="29" t="str">
        <f t="shared" si="10"/>
        <v>-</v>
      </c>
      <c r="S21" s="293"/>
      <c r="T21" s="101">
        <f t="shared" ref="T21" si="19">T22+T23+T24+T25+T26</f>
        <v>0</v>
      </c>
      <c r="U21" s="101">
        <v>0</v>
      </c>
      <c r="V21" s="102">
        <f t="shared" ref="V21:V26" si="20">U21-T21</f>
        <v>0</v>
      </c>
      <c r="W21" s="29" t="str">
        <f t="shared" si="11"/>
        <v>-</v>
      </c>
      <c r="X21" s="786"/>
    </row>
    <row r="22" spans="1:24" ht="31.5" customHeight="1" x14ac:dyDescent="0.2">
      <c r="A22" s="33">
        <v>14100</v>
      </c>
      <c r="B22" s="67" t="s">
        <v>445</v>
      </c>
      <c r="C22" s="18"/>
      <c r="D22" s="18"/>
      <c r="E22" s="18"/>
      <c r="F22" s="18"/>
      <c r="G22" s="68">
        <f t="shared" si="14"/>
        <v>0</v>
      </c>
      <c r="H22" s="428" t="str">
        <f t="shared" si="8"/>
        <v>-</v>
      </c>
      <c r="I22" s="69"/>
      <c r="J22" s="18"/>
      <c r="K22" s="18"/>
      <c r="L22" s="68">
        <f t="shared" si="16"/>
        <v>0</v>
      </c>
      <c r="M22" s="428" t="str">
        <f t="shared" si="9"/>
        <v>-</v>
      </c>
      <c r="N22" s="69"/>
      <c r="O22" s="18"/>
      <c r="P22" s="18"/>
      <c r="Q22" s="68">
        <f t="shared" si="18"/>
        <v>0</v>
      </c>
      <c r="R22" s="428" t="str">
        <f t="shared" si="10"/>
        <v>-</v>
      </c>
      <c r="S22" s="69"/>
      <c r="T22" s="18"/>
      <c r="U22" s="18"/>
      <c r="V22" s="68">
        <f t="shared" si="20"/>
        <v>0</v>
      </c>
      <c r="W22" s="428" t="str">
        <f t="shared" si="11"/>
        <v>-</v>
      </c>
      <c r="X22" s="788"/>
    </row>
    <row r="23" spans="1:24" ht="48.75" customHeight="1" x14ac:dyDescent="0.2">
      <c r="A23" s="33">
        <v>14200</v>
      </c>
      <c r="B23" s="67" t="s">
        <v>446</v>
      </c>
      <c r="C23" s="18"/>
      <c r="D23" s="18"/>
      <c r="E23" s="18"/>
      <c r="F23" s="18"/>
      <c r="G23" s="68">
        <f t="shared" si="14"/>
        <v>0</v>
      </c>
      <c r="H23" s="428" t="str">
        <f t="shared" si="8"/>
        <v>-</v>
      </c>
      <c r="I23" s="69"/>
      <c r="J23" s="18"/>
      <c r="K23" s="18"/>
      <c r="L23" s="68">
        <f t="shared" si="16"/>
        <v>0</v>
      </c>
      <c r="M23" s="428" t="str">
        <f t="shared" si="9"/>
        <v>-</v>
      </c>
      <c r="N23" s="69"/>
      <c r="O23" s="18"/>
      <c r="P23" s="18"/>
      <c r="Q23" s="68">
        <f t="shared" si="18"/>
        <v>0</v>
      </c>
      <c r="R23" s="428" t="str">
        <f t="shared" si="10"/>
        <v>-</v>
      </c>
      <c r="S23" s="69"/>
      <c r="T23" s="18"/>
      <c r="U23" s="18"/>
      <c r="V23" s="68">
        <f t="shared" si="20"/>
        <v>0</v>
      </c>
      <c r="W23" s="428" t="str">
        <f t="shared" si="11"/>
        <v>-</v>
      </c>
      <c r="X23" s="788"/>
    </row>
    <row r="24" spans="1:24" ht="15.6" customHeight="1" x14ac:dyDescent="0.2">
      <c r="A24" s="33">
        <v>14300</v>
      </c>
      <c r="B24" s="15" t="s">
        <v>447</v>
      </c>
      <c r="C24" s="18"/>
      <c r="D24" s="18"/>
      <c r="E24" s="18"/>
      <c r="F24" s="18"/>
      <c r="G24" s="68">
        <f t="shared" si="14"/>
        <v>0</v>
      </c>
      <c r="H24" s="428" t="str">
        <f t="shared" si="8"/>
        <v>-</v>
      </c>
      <c r="I24" s="69"/>
      <c r="J24" s="18"/>
      <c r="K24" s="18"/>
      <c r="L24" s="68">
        <f t="shared" si="16"/>
        <v>0</v>
      </c>
      <c r="M24" s="428" t="str">
        <f t="shared" si="9"/>
        <v>-</v>
      </c>
      <c r="N24" s="69"/>
      <c r="O24" s="18"/>
      <c r="P24" s="18"/>
      <c r="Q24" s="68">
        <f t="shared" si="18"/>
        <v>0</v>
      </c>
      <c r="R24" s="428" t="str">
        <f t="shared" si="10"/>
        <v>-</v>
      </c>
      <c r="S24" s="69"/>
      <c r="T24" s="18"/>
      <c r="U24" s="18"/>
      <c r="V24" s="68">
        <f t="shared" si="20"/>
        <v>0</v>
      </c>
      <c r="W24" s="428" t="str">
        <f t="shared" si="11"/>
        <v>-</v>
      </c>
      <c r="X24" s="788"/>
    </row>
    <row r="25" spans="1:24" ht="15.6" customHeight="1" x14ac:dyDescent="0.2">
      <c r="A25" s="33">
        <v>14400</v>
      </c>
      <c r="B25" s="15" t="s">
        <v>448</v>
      </c>
      <c r="C25" s="18"/>
      <c r="D25" s="18"/>
      <c r="E25" s="18"/>
      <c r="F25" s="18"/>
      <c r="G25" s="68">
        <f t="shared" si="14"/>
        <v>0</v>
      </c>
      <c r="H25" s="428" t="str">
        <f t="shared" si="8"/>
        <v>-</v>
      </c>
      <c r="I25" s="69"/>
      <c r="J25" s="18"/>
      <c r="K25" s="18"/>
      <c r="L25" s="68">
        <f t="shared" si="16"/>
        <v>0</v>
      </c>
      <c r="M25" s="428" t="str">
        <f t="shared" si="9"/>
        <v>-</v>
      </c>
      <c r="N25" s="69"/>
      <c r="O25" s="18"/>
      <c r="P25" s="18"/>
      <c r="Q25" s="68">
        <f t="shared" si="18"/>
        <v>0</v>
      </c>
      <c r="R25" s="428" t="str">
        <f t="shared" si="10"/>
        <v>-</v>
      </c>
      <c r="S25" s="69"/>
      <c r="T25" s="18"/>
      <c r="U25" s="18"/>
      <c r="V25" s="68">
        <f t="shared" si="20"/>
        <v>0</v>
      </c>
      <c r="W25" s="428" t="str">
        <f t="shared" si="11"/>
        <v>-</v>
      </c>
      <c r="X25" s="788"/>
    </row>
    <row r="26" spans="1:24" ht="15.6" customHeight="1" x14ac:dyDescent="0.2">
      <c r="A26" s="33">
        <v>14500</v>
      </c>
      <c r="B26" s="15" t="s">
        <v>449</v>
      </c>
      <c r="C26" s="18"/>
      <c r="D26" s="18"/>
      <c r="E26" s="18"/>
      <c r="F26" s="18"/>
      <c r="G26" s="68">
        <f t="shared" si="14"/>
        <v>0</v>
      </c>
      <c r="H26" s="428" t="str">
        <f t="shared" si="8"/>
        <v>-</v>
      </c>
      <c r="I26" s="69"/>
      <c r="J26" s="18"/>
      <c r="K26" s="18"/>
      <c r="L26" s="68">
        <f t="shared" si="16"/>
        <v>0</v>
      </c>
      <c r="M26" s="428" t="str">
        <f t="shared" si="9"/>
        <v>-</v>
      </c>
      <c r="N26" s="69"/>
      <c r="O26" s="18"/>
      <c r="P26" s="18"/>
      <c r="Q26" s="68">
        <f t="shared" si="18"/>
        <v>0</v>
      </c>
      <c r="R26" s="428" t="str">
        <f t="shared" si="10"/>
        <v>-</v>
      </c>
      <c r="S26" s="69"/>
      <c r="T26" s="18"/>
      <c r="U26" s="18"/>
      <c r="V26" s="68">
        <f t="shared" si="20"/>
        <v>0</v>
      </c>
      <c r="W26" s="428" t="str">
        <f t="shared" si="11"/>
        <v>-</v>
      </c>
      <c r="X26" s="788"/>
    </row>
    <row r="27" spans="1:24" ht="15.6" customHeight="1" x14ac:dyDescent="0.2">
      <c r="A27" s="99">
        <v>15000</v>
      </c>
      <c r="B27" s="103" t="s">
        <v>450</v>
      </c>
      <c r="C27" s="101">
        <f>C28+C29+C33</f>
        <v>1908350.74</v>
      </c>
      <c r="D27" s="101">
        <f t="shared" ref="D27:G27" si="21">D28+D29+D33</f>
        <v>1019130</v>
      </c>
      <c r="E27" s="101">
        <f t="shared" si="21"/>
        <v>344725</v>
      </c>
      <c r="F27" s="101">
        <f t="shared" si="21"/>
        <v>261175.51</v>
      </c>
      <c r="G27" s="101">
        <f t="shared" si="21"/>
        <v>-83549.489999999991</v>
      </c>
      <c r="H27" s="29">
        <f t="shared" si="8"/>
        <v>-0.24236562477337006</v>
      </c>
      <c r="I27" s="101"/>
      <c r="J27" s="101">
        <f>J28+J29+J33</f>
        <v>659130</v>
      </c>
      <c r="K27" s="101">
        <f>K28+K29+K33</f>
        <v>891943.78</v>
      </c>
      <c r="L27" s="101">
        <f t="shared" ref="L27" si="22">L28+L29+L33</f>
        <v>232813.78000000003</v>
      </c>
      <c r="M27" s="29">
        <f t="shared" si="9"/>
        <v>0.35321375146025824</v>
      </c>
      <c r="N27" s="101">
        <f t="shared" ref="N27:Q27" si="23">N28+N29+N33</f>
        <v>0</v>
      </c>
      <c r="O27" s="101">
        <f t="shared" si="23"/>
        <v>809130</v>
      </c>
      <c r="P27" s="101">
        <f t="shared" si="23"/>
        <v>1209248.82</v>
      </c>
      <c r="Q27" s="101">
        <f t="shared" si="23"/>
        <v>400118.82000000007</v>
      </c>
      <c r="R27" s="29">
        <f t="shared" si="10"/>
        <v>0.49450498683771466</v>
      </c>
      <c r="S27" s="101">
        <f t="shared" ref="S27:V27" si="24">S28+S29+S33</f>
        <v>0</v>
      </c>
      <c r="T27" s="101">
        <f>T28+T29+T33</f>
        <v>1019130</v>
      </c>
      <c r="U27" s="101">
        <f t="shared" si="24"/>
        <v>1896470</v>
      </c>
      <c r="V27" s="101">
        <f t="shared" si="24"/>
        <v>877340</v>
      </c>
      <c r="W27" s="29">
        <f t="shared" si="11"/>
        <v>0.86087152767556641</v>
      </c>
      <c r="X27" s="787" t="e">
        <f t="shared" ref="X27" si="25">X28+X29+X33</f>
        <v>#VALUE!</v>
      </c>
    </row>
    <row r="28" spans="1:24" ht="48.75" customHeight="1" x14ac:dyDescent="0.2">
      <c r="A28" s="33">
        <v>15100</v>
      </c>
      <c r="B28" s="67" t="s">
        <v>451</v>
      </c>
      <c r="C28" s="18"/>
      <c r="D28" s="18"/>
      <c r="E28" s="18"/>
      <c r="F28" s="18"/>
      <c r="G28" s="68">
        <f t="shared" si="14"/>
        <v>0</v>
      </c>
      <c r="H28" s="428" t="str">
        <f t="shared" si="8"/>
        <v>-</v>
      </c>
      <c r="I28" s="70"/>
      <c r="J28" s="18"/>
      <c r="K28" s="18"/>
      <c r="L28" s="68">
        <f t="shared" ref="L28" si="26">K28-J28</f>
        <v>0</v>
      </c>
      <c r="M28" s="428" t="str">
        <f t="shared" si="9"/>
        <v>-</v>
      </c>
      <c r="N28" s="70"/>
      <c r="O28" s="18"/>
      <c r="P28" s="18"/>
      <c r="Q28" s="68">
        <f t="shared" ref="Q28:Q30" si="27">P28-O28</f>
        <v>0</v>
      </c>
      <c r="R28" s="428" t="str">
        <f t="shared" si="10"/>
        <v>-</v>
      </c>
      <c r="S28" s="70"/>
      <c r="T28" s="18"/>
      <c r="U28" s="18"/>
      <c r="V28" s="68">
        <f t="shared" ref="V28" si="28">U28-T28</f>
        <v>0</v>
      </c>
      <c r="W28" s="428" t="str">
        <f t="shared" si="11"/>
        <v>-</v>
      </c>
      <c r="X28" s="788"/>
    </row>
    <row r="29" spans="1:24" ht="32.25" customHeight="1" x14ac:dyDescent="0.2">
      <c r="A29" s="33">
        <v>15200</v>
      </c>
      <c r="B29" s="67" t="s">
        <v>452</v>
      </c>
      <c r="C29" s="71">
        <f t="shared" ref="C29" si="29">C31+C30+C32</f>
        <v>1908350.74</v>
      </c>
      <c r="D29" s="71">
        <f>D30+D31+D32</f>
        <v>1019130</v>
      </c>
      <c r="E29" s="71">
        <f t="shared" ref="E29:G29" si="30">E31+E30+E32</f>
        <v>344725</v>
      </c>
      <c r="F29" s="71">
        <f t="shared" si="30"/>
        <v>261175.51</v>
      </c>
      <c r="G29" s="429">
        <f t="shared" si="30"/>
        <v>-83549.489999999991</v>
      </c>
      <c r="H29" s="428">
        <f t="shared" si="8"/>
        <v>-0.24236562477337006</v>
      </c>
      <c r="I29" s="71"/>
      <c r="J29" s="71">
        <f t="shared" ref="J29:K29" si="31">J31+J30+J32</f>
        <v>659130</v>
      </c>
      <c r="K29" s="71">
        <f t="shared" si="31"/>
        <v>891943.78</v>
      </c>
      <c r="L29" s="429">
        <f t="shared" ref="L29" si="32">L31+L30+L32</f>
        <v>232813.78000000003</v>
      </c>
      <c r="M29" s="428">
        <f t="shared" si="9"/>
        <v>0.35321375146025824</v>
      </c>
      <c r="N29" s="71"/>
      <c r="O29" s="71">
        <f t="shared" ref="O29" si="33">O31+O30+O32</f>
        <v>809130</v>
      </c>
      <c r="P29" s="71">
        <v>1209248.82</v>
      </c>
      <c r="Q29" s="458">
        <f t="shared" si="27"/>
        <v>400118.82000000007</v>
      </c>
      <c r="R29" s="428">
        <f>IFERROR(Q29/ABS(O29), "-")</f>
        <v>0.49450498683771466</v>
      </c>
      <c r="S29" s="71"/>
      <c r="T29" s="71">
        <f>T31+T30+T32</f>
        <v>1019130</v>
      </c>
      <c r="U29" s="71">
        <f>U31+U30+U32</f>
        <v>1896470</v>
      </c>
      <c r="V29" s="429">
        <f t="shared" ref="V29" si="34">V31+V30+V32</f>
        <v>877340</v>
      </c>
      <c r="W29" s="428">
        <f t="shared" si="11"/>
        <v>0.86087152767556641</v>
      </c>
      <c r="X29" s="800" t="e">
        <f t="shared" ref="X29" si="35">X31+X30+X32</f>
        <v>#VALUE!</v>
      </c>
    </row>
    <row r="30" spans="1:24" x14ac:dyDescent="0.2">
      <c r="A30" s="73">
        <v>15210</v>
      </c>
      <c r="B30" s="74" t="s">
        <v>453</v>
      </c>
      <c r="C30" s="75">
        <v>314600</v>
      </c>
      <c r="D30" s="75"/>
      <c r="E30" s="75"/>
      <c r="F30" s="71"/>
      <c r="G30" s="76">
        <f t="shared" si="14"/>
        <v>0</v>
      </c>
      <c r="H30" s="428" t="str">
        <f t="shared" si="8"/>
        <v>-</v>
      </c>
      <c r="I30" s="77"/>
      <c r="J30" s="75"/>
      <c r="K30" s="71"/>
      <c r="L30" s="76">
        <f t="shared" ref="L30:L33" si="36">K30-J30</f>
        <v>0</v>
      </c>
      <c r="M30" s="428" t="str">
        <f t="shared" si="9"/>
        <v>-</v>
      </c>
      <c r="N30" s="77"/>
      <c r="O30" s="75"/>
      <c r="P30" s="71"/>
      <c r="Q30" s="458">
        <f t="shared" si="27"/>
        <v>0</v>
      </c>
      <c r="R30" s="428" t="str">
        <f t="shared" si="10"/>
        <v>-</v>
      </c>
      <c r="S30" s="77"/>
      <c r="T30" s="75"/>
      <c r="U30" s="71"/>
      <c r="V30" s="76">
        <f t="shared" ref="V30:V33" si="37">U30-T30</f>
        <v>0</v>
      </c>
      <c r="W30" s="428" t="str">
        <f t="shared" si="11"/>
        <v>-</v>
      </c>
      <c r="X30" s="789"/>
    </row>
    <row r="31" spans="1:24" ht="207" customHeight="1" x14ac:dyDescent="0.2">
      <c r="A31" s="73">
        <v>15220</v>
      </c>
      <c r="B31" s="74" t="s">
        <v>454</v>
      </c>
      <c r="C31" s="75">
        <f>1908350.74-314600</f>
        <v>1593750.74</v>
      </c>
      <c r="D31" s="71">
        <v>860000</v>
      </c>
      <c r="E31" s="71">
        <v>344725</v>
      </c>
      <c r="F31" s="71">
        <v>261175.51</v>
      </c>
      <c r="G31" s="458">
        <f t="shared" si="14"/>
        <v>-83549.489999999991</v>
      </c>
      <c r="H31" s="428">
        <f t="shared" si="8"/>
        <v>-0.24236562477337006</v>
      </c>
      <c r="I31" s="624" t="s">
        <v>455</v>
      </c>
      <c r="J31" s="71">
        <v>500000</v>
      </c>
      <c r="K31" s="71">
        <v>891943.78</v>
      </c>
      <c r="L31" s="458">
        <f t="shared" si="36"/>
        <v>391943.78</v>
      </c>
      <c r="M31" s="428">
        <f t="shared" si="9"/>
        <v>0.78388756000000004</v>
      </c>
      <c r="N31" s="725" t="s">
        <v>456</v>
      </c>
      <c r="O31" s="71">
        <v>650000</v>
      </c>
      <c r="P31" s="71">
        <v>1209249</v>
      </c>
      <c r="Q31" s="458">
        <f>P31-O31</f>
        <v>559249</v>
      </c>
      <c r="R31" s="428">
        <f>IFERROR(Q31/ABS(O31), "-")</f>
        <v>0.86038307692307692</v>
      </c>
      <c r="S31" s="754" t="s">
        <v>457</v>
      </c>
      <c r="T31" s="71">
        <v>860000</v>
      </c>
      <c r="U31" s="71">
        <v>1766103</v>
      </c>
      <c r="V31" s="76">
        <f t="shared" si="37"/>
        <v>906103</v>
      </c>
      <c r="W31" s="817">
        <f t="shared" si="11"/>
        <v>1.0536081395348837</v>
      </c>
      <c r="X31" s="825" t="s">
        <v>458</v>
      </c>
    </row>
    <row r="32" spans="1:24" ht="74.25" customHeight="1" x14ac:dyDescent="0.2">
      <c r="A32" s="73">
        <v>15230</v>
      </c>
      <c r="B32" s="74" t="s">
        <v>459</v>
      </c>
      <c r="C32" s="75">
        <v>0</v>
      </c>
      <c r="D32" s="75">
        <f>159130</f>
        <v>159130</v>
      </c>
      <c r="E32" s="75"/>
      <c r="F32" s="71"/>
      <c r="G32" s="76">
        <f t="shared" si="14"/>
        <v>0</v>
      </c>
      <c r="H32" s="428" t="str">
        <f t="shared" si="8"/>
        <v>-</v>
      </c>
      <c r="I32" s="78"/>
      <c r="J32" s="75">
        <f>159130</f>
        <v>159130</v>
      </c>
      <c r="K32" s="71"/>
      <c r="L32" s="76">
        <f t="shared" si="36"/>
        <v>-159130</v>
      </c>
      <c r="M32" s="428">
        <f t="shared" si="9"/>
        <v>-1</v>
      </c>
      <c r="N32" s="724" t="s">
        <v>460</v>
      </c>
      <c r="O32" s="75">
        <f>159130</f>
        <v>159130</v>
      </c>
      <c r="P32" s="71"/>
      <c r="Q32" s="76">
        <f t="shared" ref="Q32:Q33" si="38">P32-O32</f>
        <v>-159130</v>
      </c>
      <c r="R32" s="428">
        <f t="shared" si="10"/>
        <v>-1</v>
      </c>
      <c r="S32" s="724" t="s">
        <v>461</v>
      </c>
      <c r="T32" s="75">
        <f>159130</f>
        <v>159130</v>
      </c>
      <c r="U32" s="71">
        <v>130367</v>
      </c>
      <c r="V32" s="76">
        <f t="shared" si="37"/>
        <v>-28763</v>
      </c>
      <c r="W32" s="817">
        <f t="shared" si="11"/>
        <v>-0.18075158675296926</v>
      </c>
      <c r="X32" s="822" t="s">
        <v>462</v>
      </c>
    </row>
    <row r="33" spans="1:24" ht="15.6" customHeight="1" x14ac:dyDescent="0.2">
      <c r="A33" s="33">
        <v>15300</v>
      </c>
      <c r="B33" s="67" t="s">
        <v>463</v>
      </c>
      <c r="C33" s="18">
        <v>0</v>
      </c>
      <c r="D33" s="18">
        <v>0</v>
      </c>
      <c r="E33" s="18">
        <v>0</v>
      </c>
      <c r="F33" s="18"/>
      <c r="G33" s="68">
        <f t="shared" si="14"/>
        <v>0</v>
      </c>
      <c r="H33" s="428" t="str">
        <f t="shared" si="8"/>
        <v>-</v>
      </c>
      <c r="I33" s="78"/>
      <c r="J33" s="18">
        <v>0</v>
      </c>
      <c r="K33" s="18"/>
      <c r="L33" s="68">
        <f t="shared" si="36"/>
        <v>0</v>
      </c>
      <c r="M33" s="428" t="str">
        <f t="shared" si="9"/>
        <v>-</v>
      </c>
      <c r="N33" s="78"/>
      <c r="O33" s="18">
        <v>0</v>
      </c>
      <c r="P33" s="18"/>
      <c r="Q33" s="68">
        <f t="shared" si="38"/>
        <v>0</v>
      </c>
      <c r="R33" s="428" t="str">
        <f t="shared" si="10"/>
        <v>-</v>
      </c>
      <c r="S33" s="78"/>
      <c r="T33" s="18">
        <v>0</v>
      </c>
      <c r="U33" s="18"/>
      <c r="V33" s="68">
        <f t="shared" si="37"/>
        <v>0</v>
      </c>
      <c r="W33" s="817" t="str">
        <f t="shared" si="11"/>
        <v>-</v>
      </c>
      <c r="X33" s="823"/>
    </row>
    <row r="34" spans="1:24" ht="30.6" customHeight="1" x14ac:dyDescent="0.2">
      <c r="A34" s="104">
        <v>16000</v>
      </c>
      <c r="B34" s="105" t="s">
        <v>464</v>
      </c>
      <c r="C34" s="106">
        <f>C21-C27</f>
        <v>-1908350.74</v>
      </c>
      <c r="D34" s="106">
        <f t="shared" ref="D34:I34" si="39">D21-D27</f>
        <v>-1019130</v>
      </c>
      <c r="E34" s="106">
        <f t="shared" si="39"/>
        <v>-344725</v>
      </c>
      <c r="F34" s="106">
        <f t="shared" si="39"/>
        <v>-261175.51</v>
      </c>
      <c r="G34" s="106">
        <f t="shared" si="39"/>
        <v>83549.489999999991</v>
      </c>
      <c r="H34" s="29">
        <f t="shared" si="8"/>
        <v>0.24236562477337006</v>
      </c>
      <c r="I34" s="106">
        <f t="shared" si="39"/>
        <v>0</v>
      </c>
      <c r="J34" s="478">
        <f t="shared" ref="J34:L34" si="40">J21-J27</f>
        <v>-659130</v>
      </c>
      <c r="K34" s="478">
        <f t="shared" si="40"/>
        <v>-891943.78</v>
      </c>
      <c r="L34" s="478">
        <f t="shared" si="40"/>
        <v>-232813.78000000003</v>
      </c>
      <c r="M34" s="479">
        <f t="shared" si="9"/>
        <v>-0.35321375146025824</v>
      </c>
      <c r="N34" s="478">
        <f t="shared" ref="N34:Q34" si="41">N21-N27</f>
        <v>0</v>
      </c>
      <c r="O34" s="478">
        <f>O21-O27</f>
        <v>-809130</v>
      </c>
      <c r="P34" s="478">
        <f>P21-P27</f>
        <v>-1209248.82</v>
      </c>
      <c r="Q34" s="478">
        <f t="shared" si="41"/>
        <v>-400118.82000000007</v>
      </c>
      <c r="R34" s="479">
        <f t="shared" si="10"/>
        <v>-0.49450498683771466</v>
      </c>
      <c r="S34" s="478">
        <f t="shared" ref="S34:V34" si="42">S21-S27</f>
        <v>0</v>
      </c>
      <c r="T34" s="478">
        <f t="shared" si="42"/>
        <v>-1019130</v>
      </c>
      <c r="U34" s="93">
        <f t="shared" si="42"/>
        <v>-1896470</v>
      </c>
      <c r="V34" s="93">
        <f t="shared" si="42"/>
        <v>-877340</v>
      </c>
      <c r="W34" s="818">
        <f t="shared" si="11"/>
        <v>-0.86087152767556641</v>
      </c>
      <c r="X34" s="824"/>
    </row>
    <row r="35" spans="1:24" ht="43.5" customHeight="1" x14ac:dyDescent="0.2">
      <c r="A35" s="287" t="s">
        <v>465</v>
      </c>
      <c r="B35" s="958" t="s">
        <v>466</v>
      </c>
      <c r="C35" s="958"/>
      <c r="D35" s="958"/>
      <c r="E35" s="959"/>
      <c r="F35" s="959"/>
      <c r="G35" s="959"/>
      <c r="H35" s="291" t="str">
        <f t="shared" si="1"/>
        <v>-</v>
      </c>
      <c r="I35" s="289"/>
      <c r="J35" s="290"/>
      <c r="K35" s="290"/>
      <c r="L35" s="290"/>
      <c r="M35" s="291" t="str">
        <f t="shared" si="9"/>
        <v>-</v>
      </c>
      <c r="N35" s="289"/>
      <c r="O35" s="290"/>
      <c r="P35" s="290"/>
      <c r="Q35" s="290"/>
      <c r="R35" s="291" t="str">
        <f t="shared" si="10"/>
        <v>-</v>
      </c>
      <c r="S35" s="289"/>
      <c r="T35" s="290"/>
      <c r="U35" s="290"/>
      <c r="V35" s="290"/>
      <c r="W35" s="291" t="str">
        <f t="shared" si="11"/>
        <v>-</v>
      </c>
      <c r="X35" s="821"/>
    </row>
    <row r="36" spans="1:24" ht="15.6" customHeight="1" x14ac:dyDescent="0.2">
      <c r="A36" s="107">
        <v>17000</v>
      </c>
      <c r="B36" s="108" t="s">
        <v>467</v>
      </c>
      <c r="C36" s="109">
        <f t="shared" ref="C36" si="43">C37+C38+C39</f>
        <v>1934195</v>
      </c>
      <c r="D36" s="109">
        <f>D37+D38+D39</f>
        <v>815455</v>
      </c>
      <c r="E36" s="480">
        <f>E37+E38+E39</f>
        <v>720464.49</v>
      </c>
      <c r="F36" s="480">
        <f>F37+F38+F39</f>
        <v>720464.49</v>
      </c>
      <c r="G36" s="481">
        <f t="shared" ref="G36:G54" si="44">F36-E36</f>
        <v>0</v>
      </c>
      <c r="H36" s="482">
        <f t="shared" si="1"/>
        <v>0</v>
      </c>
      <c r="I36" s="483"/>
      <c r="J36" s="480">
        <f>J37+J38+J39</f>
        <v>0</v>
      </c>
      <c r="K36" s="480">
        <f>K39</f>
        <v>972348.95</v>
      </c>
      <c r="L36" s="481">
        <f t="shared" ref="L36:L54" si="45">K36-J36</f>
        <v>972348.95</v>
      </c>
      <c r="M36" s="482" t="str">
        <f t="shared" si="9"/>
        <v>-</v>
      </c>
      <c r="N36" s="483"/>
      <c r="O36" s="480">
        <f>O37+O38+O39</f>
        <v>0</v>
      </c>
      <c r="P36" s="480">
        <f>P37+P38+P39</f>
        <v>1311346.95</v>
      </c>
      <c r="Q36" s="481">
        <f t="shared" ref="Q36:Q54" si="46">P36-O36</f>
        <v>1311346.95</v>
      </c>
      <c r="R36" s="482" t="str">
        <f t="shared" si="10"/>
        <v>-</v>
      </c>
      <c r="S36" s="483"/>
      <c r="T36" s="480">
        <f>T37+T38+T39</f>
        <v>815455</v>
      </c>
      <c r="U36" s="480">
        <f>U37+U38+U39</f>
        <v>2338282.27</v>
      </c>
      <c r="V36" s="96">
        <f t="shared" ref="V36:V54" si="47">U36-T36</f>
        <v>1522827.27</v>
      </c>
      <c r="W36" s="819">
        <f t="shared" si="11"/>
        <v>1.8674571496894372</v>
      </c>
      <c r="X36" s="821"/>
    </row>
    <row r="37" spans="1:24" ht="45" customHeight="1" x14ac:dyDescent="0.2">
      <c r="A37" s="79">
        <v>17100</v>
      </c>
      <c r="B37" s="80" t="s">
        <v>468</v>
      </c>
      <c r="C37" s="81"/>
      <c r="D37" s="81"/>
      <c r="E37" s="484"/>
      <c r="F37" s="484"/>
      <c r="G37" s="485">
        <f t="shared" si="44"/>
        <v>0</v>
      </c>
      <c r="H37" s="486" t="str">
        <f t="shared" si="1"/>
        <v>-</v>
      </c>
      <c r="I37" s="487"/>
      <c r="J37" s="484"/>
      <c r="K37" s="484"/>
      <c r="L37" s="485">
        <f t="shared" si="45"/>
        <v>0</v>
      </c>
      <c r="M37" s="486" t="str">
        <f t="shared" si="9"/>
        <v>-</v>
      </c>
      <c r="N37" s="487"/>
      <c r="O37" s="484"/>
      <c r="P37" s="484"/>
      <c r="Q37" s="485">
        <f t="shared" si="46"/>
        <v>0</v>
      </c>
      <c r="R37" s="486" t="str">
        <f t="shared" si="10"/>
        <v>-</v>
      </c>
      <c r="S37" s="487"/>
      <c r="T37" s="484"/>
      <c r="U37" s="81"/>
      <c r="V37" s="82">
        <f t="shared" si="47"/>
        <v>0</v>
      </c>
      <c r="W37" s="820" t="str">
        <f t="shared" si="11"/>
        <v>-</v>
      </c>
      <c r="X37" s="821"/>
    </row>
    <row r="38" spans="1:24" ht="15.6" customHeight="1" x14ac:dyDescent="0.2">
      <c r="A38" s="79">
        <v>17200</v>
      </c>
      <c r="B38" s="80" t="s">
        <v>469</v>
      </c>
      <c r="C38" s="81"/>
      <c r="D38" s="81"/>
      <c r="E38" s="81"/>
      <c r="F38" s="81"/>
      <c r="G38" s="82">
        <f t="shared" si="44"/>
        <v>0</v>
      </c>
      <c r="H38" s="28" t="str">
        <f t="shared" si="1"/>
        <v>-</v>
      </c>
      <c r="I38" s="83"/>
      <c r="J38" s="81"/>
      <c r="K38" s="81"/>
      <c r="L38" s="82">
        <f t="shared" si="45"/>
        <v>0</v>
      </c>
      <c r="M38" s="28" t="str">
        <f t="shared" si="9"/>
        <v>-</v>
      </c>
      <c r="N38" s="83"/>
      <c r="O38" s="81"/>
      <c r="P38" s="81"/>
      <c r="Q38" s="82">
        <f t="shared" si="46"/>
        <v>0</v>
      </c>
      <c r="R38" s="28" t="str">
        <f t="shared" si="10"/>
        <v>-</v>
      </c>
      <c r="S38" s="83"/>
      <c r="T38" s="81"/>
      <c r="U38" s="81"/>
      <c r="V38" s="82">
        <f t="shared" si="47"/>
        <v>0</v>
      </c>
      <c r="W38" s="820" t="str">
        <f t="shared" si="11"/>
        <v>-</v>
      </c>
      <c r="X38" s="821"/>
    </row>
    <row r="39" spans="1:24" ht="76.5" customHeight="1" x14ac:dyDescent="0.2">
      <c r="A39" s="49">
        <v>17300</v>
      </c>
      <c r="B39" s="50" t="s">
        <v>470</v>
      </c>
      <c r="C39" s="51">
        <v>1934195</v>
      </c>
      <c r="D39" s="171">
        <v>815455</v>
      </c>
      <c r="E39" s="171">
        <v>720464.49</v>
      </c>
      <c r="F39" s="171">
        <v>720464.49</v>
      </c>
      <c r="G39" s="172">
        <f t="shared" si="44"/>
        <v>0</v>
      </c>
      <c r="H39" s="173">
        <f t="shared" si="1"/>
        <v>0</v>
      </c>
      <c r="I39" s="112"/>
      <c r="J39" s="171"/>
      <c r="K39" s="171">
        <v>972348.95</v>
      </c>
      <c r="L39" s="172">
        <f t="shared" si="45"/>
        <v>972348.95</v>
      </c>
      <c r="M39" s="173" t="str">
        <f t="shared" si="9"/>
        <v>-</v>
      </c>
      <c r="N39" s="730" t="s">
        <v>471</v>
      </c>
      <c r="O39" s="171"/>
      <c r="P39" s="171">
        <v>1311346.95</v>
      </c>
      <c r="Q39" s="172">
        <f t="shared" si="46"/>
        <v>1311346.95</v>
      </c>
      <c r="R39" s="173" t="str">
        <f t="shared" si="10"/>
        <v>-</v>
      </c>
      <c r="S39" s="755" t="s">
        <v>471</v>
      </c>
      <c r="T39" s="171">
        <v>815455</v>
      </c>
      <c r="U39" s="51">
        <v>2338282.27</v>
      </c>
      <c r="V39" s="52">
        <f t="shared" si="47"/>
        <v>1522827.27</v>
      </c>
      <c r="W39" s="53">
        <f t="shared" si="11"/>
        <v>1.8674571496894372</v>
      </c>
      <c r="X39" s="814" t="s">
        <v>472</v>
      </c>
    </row>
    <row r="40" spans="1:24" ht="15.6" customHeight="1" x14ac:dyDescent="0.2">
      <c r="A40" s="110">
        <v>18000</v>
      </c>
      <c r="B40" s="103" t="s">
        <v>473</v>
      </c>
      <c r="C40" s="93">
        <f t="shared" ref="C40" si="48">C41+C42+C43</f>
        <v>0</v>
      </c>
      <c r="D40" s="93">
        <f t="shared" ref="D40" si="49">D41+D42+D43</f>
        <v>0</v>
      </c>
      <c r="E40" s="93">
        <f>E41+E42+E43</f>
        <v>0</v>
      </c>
      <c r="F40" s="93">
        <v>0</v>
      </c>
      <c r="G40" s="96">
        <f t="shared" si="44"/>
        <v>0</v>
      </c>
      <c r="H40" s="97" t="str">
        <f t="shared" si="1"/>
        <v>-</v>
      </c>
      <c r="I40" s="292"/>
      <c r="J40" s="93">
        <f t="shared" ref="J40" si="50">J41+J42+J43</f>
        <v>0</v>
      </c>
      <c r="K40" s="93">
        <v>0</v>
      </c>
      <c r="L40" s="96">
        <f t="shared" si="45"/>
        <v>0</v>
      </c>
      <c r="M40" s="97" t="str">
        <f t="shared" si="9"/>
        <v>-</v>
      </c>
      <c r="N40" s="292"/>
      <c r="O40" s="93">
        <f t="shared" ref="O40" si="51">O41+O42+O43</f>
        <v>0</v>
      </c>
      <c r="P40" s="93">
        <v>0</v>
      </c>
      <c r="Q40" s="96">
        <f t="shared" si="46"/>
        <v>0</v>
      </c>
      <c r="R40" s="97" t="str">
        <f t="shared" si="10"/>
        <v>-</v>
      </c>
      <c r="S40" s="292"/>
      <c r="T40" s="93">
        <f t="shared" ref="T40" si="52">T41+T42+T43</f>
        <v>0</v>
      </c>
      <c r="U40" s="93">
        <v>0</v>
      </c>
      <c r="V40" s="96">
        <f t="shared" si="47"/>
        <v>0</v>
      </c>
      <c r="W40" s="97" t="str">
        <f t="shared" si="11"/>
        <v>-</v>
      </c>
      <c r="X40" s="785"/>
    </row>
    <row r="41" spans="1:24" ht="35.25" customHeight="1" x14ac:dyDescent="0.2">
      <c r="A41" s="84">
        <v>18100</v>
      </c>
      <c r="B41" s="15" t="s">
        <v>474</v>
      </c>
      <c r="C41" s="81"/>
      <c r="D41" s="81"/>
      <c r="E41" s="81"/>
      <c r="F41" s="81"/>
      <c r="G41" s="82">
        <f t="shared" si="44"/>
        <v>0</v>
      </c>
      <c r="H41" s="28" t="str">
        <f t="shared" si="1"/>
        <v>-</v>
      </c>
      <c r="I41" s="85"/>
      <c r="J41" s="81"/>
      <c r="K41" s="81"/>
      <c r="L41" s="82">
        <f t="shared" si="45"/>
        <v>0</v>
      </c>
      <c r="M41" s="28" t="str">
        <f t="shared" si="9"/>
        <v>-</v>
      </c>
      <c r="N41" s="85"/>
      <c r="O41" s="81"/>
      <c r="P41" s="81"/>
      <c r="Q41" s="82">
        <f t="shared" si="46"/>
        <v>0</v>
      </c>
      <c r="R41" s="28" t="str">
        <f t="shared" si="10"/>
        <v>-</v>
      </c>
      <c r="S41" s="85"/>
      <c r="T41" s="81"/>
      <c r="U41" s="81"/>
      <c r="V41" s="82">
        <f t="shared" si="47"/>
        <v>0</v>
      </c>
      <c r="W41" s="28" t="str">
        <f t="shared" si="11"/>
        <v>-</v>
      </c>
      <c r="X41" s="790"/>
    </row>
    <row r="42" spans="1:24" ht="33" customHeight="1" x14ac:dyDescent="0.2">
      <c r="A42" s="84">
        <v>18200</v>
      </c>
      <c r="B42" s="15" t="s">
        <v>475</v>
      </c>
      <c r="C42" s="81"/>
      <c r="D42" s="81"/>
      <c r="E42" s="81"/>
      <c r="F42" s="81"/>
      <c r="G42" s="82">
        <f t="shared" si="44"/>
        <v>0</v>
      </c>
      <c r="H42" s="28" t="str">
        <f t="shared" si="1"/>
        <v>-</v>
      </c>
      <c r="I42" s="85"/>
      <c r="J42" s="81"/>
      <c r="K42" s="81"/>
      <c r="L42" s="82">
        <f t="shared" si="45"/>
        <v>0</v>
      </c>
      <c r="M42" s="28" t="str">
        <f t="shared" si="9"/>
        <v>-</v>
      </c>
      <c r="N42" s="85"/>
      <c r="O42" s="81"/>
      <c r="P42" s="81"/>
      <c r="Q42" s="82">
        <f t="shared" si="46"/>
        <v>0</v>
      </c>
      <c r="R42" s="28" t="str">
        <f t="shared" si="10"/>
        <v>-</v>
      </c>
      <c r="S42" s="85"/>
      <c r="T42" s="81"/>
      <c r="U42" s="81"/>
      <c r="V42" s="82">
        <f t="shared" si="47"/>
        <v>0</v>
      </c>
      <c r="W42" s="28" t="str">
        <f t="shared" si="11"/>
        <v>-</v>
      </c>
      <c r="X42" s="790"/>
    </row>
    <row r="43" spans="1:24" ht="15.6" customHeight="1" x14ac:dyDescent="0.2">
      <c r="A43" s="84">
        <v>18300</v>
      </c>
      <c r="B43" s="15" t="s">
        <v>476</v>
      </c>
      <c r="C43" s="81"/>
      <c r="D43" s="81"/>
      <c r="E43" s="81"/>
      <c r="F43" s="81"/>
      <c r="G43" s="82">
        <f t="shared" si="44"/>
        <v>0</v>
      </c>
      <c r="H43" s="28" t="str">
        <f t="shared" si="1"/>
        <v>-</v>
      </c>
      <c r="I43" s="85"/>
      <c r="J43" s="81"/>
      <c r="K43" s="81"/>
      <c r="L43" s="82">
        <f t="shared" si="45"/>
        <v>0</v>
      </c>
      <c r="M43" s="28" t="str">
        <f t="shared" si="9"/>
        <v>-</v>
      </c>
      <c r="N43" s="85"/>
      <c r="O43" s="81"/>
      <c r="P43" s="81"/>
      <c r="Q43" s="82">
        <f t="shared" si="46"/>
        <v>0</v>
      </c>
      <c r="R43" s="28" t="str">
        <f t="shared" si="10"/>
        <v>-</v>
      </c>
      <c r="S43" s="85"/>
      <c r="T43" s="81"/>
      <c r="U43" s="81"/>
      <c r="V43" s="82">
        <f t="shared" si="47"/>
        <v>0</v>
      </c>
      <c r="W43" s="28" t="str">
        <f t="shared" si="11"/>
        <v>-</v>
      </c>
      <c r="X43" s="790"/>
    </row>
    <row r="44" spans="1:24" ht="30.6" customHeight="1" x14ac:dyDescent="0.2">
      <c r="A44" s="92">
        <v>19000</v>
      </c>
      <c r="B44" s="111" t="s">
        <v>477</v>
      </c>
      <c r="C44" s="93">
        <f>C36-C40</f>
        <v>1934195</v>
      </c>
      <c r="D44" s="93">
        <f>D36-D40</f>
        <v>815455</v>
      </c>
      <c r="E44" s="93">
        <f>E36-E40</f>
        <v>720464.49</v>
      </c>
      <c r="F44" s="93">
        <f>F36-F40</f>
        <v>720464.49</v>
      </c>
      <c r="G44" s="96">
        <f t="shared" si="44"/>
        <v>0</v>
      </c>
      <c r="H44" s="97">
        <f t="shared" si="1"/>
        <v>0</v>
      </c>
      <c r="I44" s="292"/>
      <c r="J44" s="93">
        <f>J36-J40</f>
        <v>0</v>
      </c>
      <c r="K44" s="93">
        <f>K36-K40</f>
        <v>972348.95</v>
      </c>
      <c r="L44" s="96">
        <f t="shared" si="45"/>
        <v>972348.95</v>
      </c>
      <c r="M44" s="97" t="str">
        <f t="shared" si="9"/>
        <v>-</v>
      </c>
      <c r="N44" s="292"/>
      <c r="O44" s="93">
        <f>O36-O40</f>
        <v>0</v>
      </c>
      <c r="P44" s="93">
        <f>P36-P40</f>
        <v>1311346.95</v>
      </c>
      <c r="Q44" s="96">
        <f t="shared" si="46"/>
        <v>1311346.95</v>
      </c>
      <c r="R44" s="97" t="str">
        <f t="shared" si="10"/>
        <v>-</v>
      </c>
      <c r="S44" s="292"/>
      <c r="T44" s="93">
        <f>T36-T40</f>
        <v>815455</v>
      </c>
      <c r="U44" s="93">
        <f>U36-U40</f>
        <v>2338282.27</v>
      </c>
      <c r="V44" s="96">
        <f t="shared" si="47"/>
        <v>1522827.27</v>
      </c>
      <c r="W44" s="97">
        <f t="shared" si="11"/>
        <v>1.8674571496894372</v>
      </c>
      <c r="X44" s="785"/>
    </row>
    <row r="45" spans="1:24" ht="32.25" customHeight="1" x14ac:dyDescent="0.2">
      <c r="A45" s="86">
        <v>20100</v>
      </c>
      <c r="B45" s="87" t="s">
        <v>478</v>
      </c>
      <c r="C45" s="88"/>
      <c r="D45" s="89"/>
      <c r="E45" s="88"/>
      <c r="F45" s="88"/>
      <c r="G45" s="90">
        <f t="shared" si="44"/>
        <v>0</v>
      </c>
      <c r="H45" s="91" t="str">
        <f t="shared" si="1"/>
        <v>-</v>
      </c>
      <c r="I45" s="83"/>
      <c r="J45" s="88"/>
      <c r="K45" s="88"/>
      <c r="L45" s="90">
        <f t="shared" si="45"/>
        <v>0</v>
      </c>
      <c r="M45" s="91" t="str">
        <f t="shared" si="9"/>
        <v>-</v>
      </c>
      <c r="N45" s="83"/>
      <c r="O45" s="88"/>
      <c r="P45" s="88"/>
      <c r="Q45" s="90">
        <f t="shared" si="46"/>
        <v>0</v>
      </c>
      <c r="R45" s="91" t="str">
        <f t="shared" si="10"/>
        <v>-</v>
      </c>
      <c r="S45" s="83"/>
      <c r="T45" s="88"/>
      <c r="U45" s="88"/>
      <c r="V45" s="90">
        <f t="shared" si="47"/>
        <v>0</v>
      </c>
      <c r="W45" s="91" t="str">
        <f t="shared" si="11"/>
        <v>-</v>
      </c>
      <c r="X45" s="790"/>
    </row>
    <row r="46" spans="1:24" ht="31.5" customHeight="1" x14ac:dyDescent="0.2">
      <c r="A46" s="86">
        <v>20200</v>
      </c>
      <c r="B46" s="87" t="s">
        <v>479</v>
      </c>
      <c r="C46" s="88"/>
      <c r="D46" s="89"/>
      <c r="E46" s="88"/>
      <c r="F46" s="88"/>
      <c r="G46" s="90">
        <f t="shared" si="44"/>
        <v>0</v>
      </c>
      <c r="H46" s="91" t="str">
        <f t="shared" si="1"/>
        <v>-</v>
      </c>
      <c r="I46" s="83"/>
      <c r="J46" s="88"/>
      <c r="K46" s="88"/>
      <c r="L46" s="90">
        <f t="shared" si="45"/>
        <v>0</v>
      </c>
      <c r="M46" s="91" t="str">
        <f t="shared" si="9"/>
        <v>-</v>
      </c>
      <c r="N46" s="83"/>
      <c r="O46" s="88"/>
      <c r="P46" s="88"/>
      <c r="Q46" s="90">
        <f t="shared" si="46"/>
        <v>0</v>
      </c>
      <c r="R46" s="91" t="str">
        <f t="shared" si="10"/>
        <v>-</v>
      </c>
      <c r="S46" s="83"/>
      <c r="T46" s="88"/>
      <c r="U46" s="88"/>
      <c r="V46" s="90">
        <f t="shared" si="47"/>
        <v>0</v>
      </c>
      <c r="W46" s="91" t="str">
        <f t="shared" si="11"/>
        <v>-</v>
      </c>
      <c r="X46" s="790"/>
    </row>
    <row r="47" spans="1:24" ht="35.25" customHeight="1" x14ac:dyDescent="0.2">
      <c r="A47" s="92">
        <v>21000</v>
      </c>
      <c r="B47" s="98" t="s">
        <v>480</v>
      </c>
      <c r="C47" s="94">
        <f>C3+C19+C34+C44+C45+C46</f>
        <v>1217329.8099999893</v>
      </c>
      <c r="D47" s="94">
        <v>1100000</v>
      </c>
      <c r="E47" s="94">
        <f>E3+E19+E34+E44+E45+E46</f>
        <v>1783625.2999999893</v>
      </c>
      <c r="F47" s="94">
        <f>F3+F19+F34+F44+F45+F46</f>
        <v>1949554.7499999884</v>
      </c>
      <c r="G47" s="95">
        <f t="shared" si="44"/>
        <v>165929.44999999902</v>
      </c>
      <c r="H47" s="29">
        <f t="shared" si="1"/>
        <v>9.3029320676265362E-2</v>
      </c>
      <c r="I47" s="960" t="s">
        <v>481</v>
      </c>
      <c r="J47" s="94">
        <f>J3+J19+J34+J44+J45+J46</f>
        <v>1099999.8099999893</v>
      </c>
      <c r="K47" s="94">
        <f>K3+K19+K34+K44+K45+K46+K36-K44</f>
        <v>1463941.1099999903</v>
      </c>
      <c r="L47" s="95">
        <f t="shared" si="45"/>
        <v>363941.30000000098</v>
      </c>
      <c r="M47" s="29">
        <f t="shared" si="9"/>
        <v>0.33085578442054869</v>
      </c>
      <c r="N47" s="952" t="s">
        <v>471</v>
      </c>
      <c r="O47" s="94">
        <f>O3+O19+O34+O44+O45+O46</f>
        <v>1099999.8099999893</v>
      </c>
      <c r="P47" s="94">
        <f>P3+P19+P34+P44+P45+P46</f>
        <v>1273465.5199999912</v>
      </c>
      <c r="Q47" s="95">
        <f t="shared" si="46"/>
        <v>173465.71000000183</v>
      </c>
      <c r="R47" s="29">
        <f t="shared" si="10"/>
        <v>0.15769612723842516</v>
      </c>
      <c r="S47" s="952" t="s">
        <v>471</v>
      </c>
      <c r="T47" s="94">
        <f>T3+T19+T34+T44+T45+T46</f>
        <v>1099999.8099999893</v>
      </c>
      <c r="U47" s="94">
        <f>U3+U19+U34+U44+U45+U46</f>
        <v>2503856.1799999834</v>
      </c>
      <c r="V47" s="95">
        <f t="shared" si="47"/>
        <v>1403856.3699999941</v>
      </c>
      <c r="W47" s="29">
        <f t="shared" si="11"/>
        <v>1.276233284076665</v>
      </c>
      <c r="X47" s="955" t="s">
        <v>482</v>
      </c>
    </row>
    <row r="48" spans="1:24" ht="15.6" customHeight="1" x14ac:dyDescent="0.2">
      <c r="A48" s="415">
        <v>21100</v>
      </c>
      <c r="B48" s="87" t="s">
        <v>483</v>
      </c>
      <c r="C48" s="88"/>
      <c r="D48" s="89"/>
      <c r="E48" s="88"/>
      <c r="F48" s="88"/>
      <c r="G48" s="90">
        <f t="shared" si="44"/>
        <v>0</v>
      </c>
      <c r="H48" s="91" t="str">
        <f t="shared" si="1"/>
        <v>-</v>
      </c>
      <c r="I48" s="961"/>
      <c r="J48" s="88"/>
      <c r="K48" s="88"/>
      <c r="L48" s="90">
        <f t="shared" si="45"/>
        <v>0</v>
      </c>
      <c r="M48" s="91" t="str">
        <f t="shared" si="9"/>
        <v>-</v>
      </c>
      <c r="N48" s="953"/>
      <c r="O48" s="88"/>
      <c r="P48" s="88"/>
      <c r="Q48" s="90">
        <f t="shared" si="46"/>
        <v>0</v>
      </c>
      <c r="R48" s="91" t="str">
        <f t="shared" si="10"/>
        <v>-</v>
      </c>
      <c r="S48" s="953"/>
      <c r="T48" s="88"/>
      <c r="U48" s="88"/>
      <c r="V48" s="90">
        <f t="shared" si="47"/>
        <v>0</v>
      </c>
      <c r="W48" s="91" t="str">
        <f t="shared" si="11"/>
        <v>-</v>
      </c>
      <c r="X48" s="956"/>
    </row>
    <row r="49" spans="1:24" ht="32.25" customHeight="1" x14ac:dyDescent="0.2">
      <c r="A49" s="415">
        <v>21200</v>
      </c>
      <c r="B49" s="87" t="s">
        <v>484</v>
      </c>
      <c r="C49" s="88">
        <v>396697.53</v>
      </c>
      <c r="D49" s="88">
        <v>263952</v>
      </c>
      <c r="E49" s="88">
        <f>720464.49+264161</f>
        <v>984625.49</v>
      </c>
      <c r="F49" s="88">
        <v>984416.08</v>
      </c>
      <c r="G49" s="90">
        <f t="shared" si="44"/>
        <v>-209.4100000000326</v>
      </c>
      <c r="H49" s="91">
        <f t="shared" si="1"/>
        <v>-2.126798484569322E-4</v>
      </c>
      <c r="I49" s="961"/>
      <c r="J49" s="88">
        <f>263952</f>
        <v>263952</v>
      </c>
      <c r="K49" s="88">
        <v>514714.6</v>
      </c>
      <c r="L49" s="90">
        <f t="shared" si="45"/>
        <v>250762.59999999998</v>
      </c>
      <c r="M49" s="91">
        <f>IFERROR(L49/ABS(J49), "-")</f>
        <v>0.95003106625447042</v>
      </c>
      <c r="N49" s="953"/>
      <c r="O49" s="88">
        <f>263952</f>
        <v>263952</v>
      </c>
      <c r="P49" s="88">
        <f>148806.87+338998</f>
        <v>487804.87</v>
      </c>
      <c r="Q49" s="90">
        <f>P49-O49</f>
        <v>223852.87</v>
      </c>
      <c r="R49" s="91">
        <f t="shared" si="10"/>
        <v>0.84808173455779834</v>
      </c>
      <c r="S49" s="953"/>
      <c r="T49" s="88">
        <f>263952</f>
        <v>263952</v>
      </c>
      <c r="U49" s="88">
        <v>756048.67</v>
      </c>
      <c r="V49" s="90">
        <f t="shared" si="47"/>
        <v>492096.67000000004</v>
      </c>
      <c r="W49" s="91">
        <f t="shared" si="11"/>
        <v>1.8643415090622539</v>
      </c>
      <c r="X49" s="956"/>
    </row>
    <row r="50" spans="1:24" ht="32.25" customHeight="1" x14ac:dyDescent="0.2">
      <c r="A50" s="415">
        <v>21300</v>
      </c>
      <c r="B50" s="87" t="s">
        <v>485</v>
      </c>
      <c r="C50" s="88"/>
      <c r="D50" s="89"/>
      <c r="E50" s="88"/>
      <c r="F50" s="88"/>
      <c r="G50" s="90">
        <f t="shared" si="44"/>
        <v>0</v>
      </c>
      <c r="H50" s="91" t="str">
        <f t="shared" si="1"/>
        <v>-</v>
      </c>
      <c r="I50" s="961"/>
      <c r="J50" s="88"/>
      <c r="K50" s="88"/>
      <c r="L50" s="90">
        <f t="shared" si="45"/>
        <v>0</v>
      </c>
      <c r="M50" s="91" t="str">
        <f t="shared" si="9"/>
        <v>-</v>
      </c>
      <c r="N50" s="953"/>
      <c r="O50" s="88"/>
      <c r="Q50" s="90">
        <f t="shared" ref="Q50:Q52" si="53">P50-O50</f>
        <v>0</v>
      </c>
      <c r="R50" s="91" t="str">
        <f t="shared" si="10"/>
        <v>-</v>
      </c>
      <c r="S50" s="953"/>
      <c r="T50" s="88"/>
      <c r="U50" s="88"/>
      <c r="V50" s="90">
        <f t="shared" si="47"/>
        <v>0</v>
      </c>
      <c r="W50" s="91" t="str">
        <f t="shared" si="11"/>
        <v>-</v>
      </c>
      <c r="X50" s="956"/>
    </row>
    <row r="51" spans="1:24" ht="25.5" customHeight="1" x14ac:dyDescent="0.2">
      <c r="A51" s="415">
        <v>21400</v>
      </c>
      <c r="B51" s="87" t="s">
        <v>486</v>
      </c>
      <c r="C51" s="88">
        <v>170883.61</v>
      </c>
      <c r="D51" s="88">
        <v>209</v>
      </c>
      <c r="E51" s="88">
        <v>209</v>
      </c>
      <c r="F51" s="88">
        <v>192.41</v>
      </c>
      <c r="G51" s="90">
        <f t="shared" si="44"/>
        <v>-16.590000000000003</v>
      </c>
      <c r="H51" s="91">
        <f t="shared" si="1"/>
        <v>-7.937799043062202E-2</v>
      </c>
      <c r="I51" s="961"/>
      <c r="J51" s="88">
        <v>209</v>
      </c>
      <c r="K51" s="88">
        <v>193.05</v>
      </c>
      <c r="L51" s="90">
        <f t="shared" si="45"/>
        <v>-15.949999999999989</v>
      </c>
      <c r="M51" s="91">
        <f t="shared" si="9"/>
        <v>-7.6315789473684156E-2</v>
      </c>
      <c r="N51" s="953"/>
      <c r="O51" s="88">
        <v>209</v>
      </c>
      <c r="P51" s="88">
        <v>193.53</v>
      </c>
      <c r="Q51" s="90">
        <f t="shared" si="53"/>
        <v>-15.469999999999999</v>
      </c>
      <c r="R51" s="91">
        <f t="shared" si="10"/>
        <v>-7.4019138755980859E-2</v>
      </c>
      <c r="S51" s="953"/>
      <c r="T51" s="88">
        <v>209</v>
      </c>
      <c r="U51" s="88">
        <v>194.01</v>
      </c>
      <c r="V51" s="90">
        <f t="shared" si="47"/>
        <v>-14.990000000000009</v>
      </c>
      <c r="W51" s="91">
        <f t="shared" si="11"/>
        <v>-7.1722488038277549E-2</v>
      </c>
      <c r="X51" s="956"/>
    </row>
    <row r="52" spans="1:24" ht="15.6" customHeight="1" x14ac:dyDescent="0.2">
      <c r="A52" s="415">
        <v>21500</v>
      </c>
      <c r="B52" s="87" t="s">
        <v>487</v>
      </c>
      <c r="C52" s="88">
        <f>646248+3500.67</f>
        <v>649748.67000000004</v>
      </c>
      <c r="D52" s="88">
        <v>835838.80999998935</v>
      </c>
      <c r="E52" s="88">
        <f>799000-209</f>
        <v>798791</v>
      </c>
      <c r="F52" s="88">
        <v>964947</v>
      </c>
      <c r="G52" s="90">
        <f t="shared" si="44"/>
        <v>166156</v>
      </c>
      <c r="H52" s="91">
        <f t="shared" si="1"/>
        <v>0.2080093541364387</v>
      </c>
      <c r="I52" s="961"/>
      <c r="J52" s="88">
        <f>J47-J49-209</f>
        <v>835838.80999998935</v>
      </c>
      <c r="K52" s="88">
        <v>949033</v>
      </c>
      <c r="L52" s="90">
        <f t="shared" si="45"/>
        <v>113194.19000001065</v>
      </c>
      <c r="M52" s="91">
        <f t="shared" si="9"/>
        <v>0.1354258604000598</v>
      </c>
      <c r="N52" s="953"/>
      <c r="O52" s="88">
        <f>O47-O49-209</f>
        <v>835838.80999998935</v>
      </c>
      <c r="P52" s="88">
        <f>785468</f>
        <v>785468</v>
      </c>
      <c r="Q52" s="90">
        <f t="shared" si="53"/>
        <v>-50370.809999989346</v>
      </c>
      <c r="R52" s="91">
        <f t="shared" si="10"/>
        <v>-6.0263784592617789E-2</v>
      </c>
      <c r="S52" s="953"/>
      <c r="T52" s="88">
        <f>T47-T49-209</f>
        <v>835838.80999998935</v>
      </c>
      <c r="U52" s="88">
        <v>1747613</v>
      </c>
      <c r="V52" s="90">
        <f t="shared" si="47"/>
        <v>911774.19000001065</v>
      </c>
      <c r="W52" s="91">
        <f t="shared" si="11"/>
        <v>1.0908493110053388</v>
      </c>
      <c r="X52" s="956"/>
    </row>
    <row r="53" spans="1:24" ht="15.6" customHeight="1" x14ac:dyDescent="0.2">
      <c r="A53" s="415">
        <v>21600</v>
      </c>
      <c r="B53" s="87" t="s">
        <v>488</v>
      </c>
      <c r="C53" s="88"/>
      <c r="D53" s="89"/>
      <c r="E53" s="88"/>
      <c r="F53" s="88"/>
      <c r="G53" s="90">
        <f t="shared" si="44"/>
        <v>0</v>
      </c>
      <c r="H53" s="91" t="str">
        <f t="shared" si="1"/>
        <v>-</v>
      </c>
      <c r="I53" s="961"/>
      <c r="J53" s="88"/>
      <c r="K53" s="88"/>
      <c r="L53" s="90">
        <f t="shared" si="45"/>
        <v>0</v>
      </c>
      <c r="M53" s="91" t="str">
        <f t="shared" si="9"/>
        <v>-</v>
      </c>
      <c r="N53" s="953"/>
      <c r="O53" s="88"/>
      <c r="P53" s="88"/>
      <c r="Q53" s="90">
        <f t="shared" si="46"/>
        <v>0</v>
      </c>
      <c r="R53" s="91" t="str">
        <f t="shared" si="10"/>
        <v>-</v>
      </c>
      <c r="S53" s="953"/>
      <c r="T53" s="88"/>
      <c r="U53" s="88"/>
      <c r="V53" s="90">
        <f t="shared" si="47"/>
        <v>0</v>
      </c>
      <c r="W53" s="91" t="str">
        <f t="shared" si="11"/>
        <v>-</v>
      </c>
      <c r="X53" s="956"/>
    </row>
    <row r="54" spans="1:24" ht="15.6" customHeight="1" x14ac:dyDescent="0.2">
      <c r="A54" s="415">
        <v>21700</v>
      </c>
      <c r="B54" s="87" t="s">
        <v>489</v>
      </c>
      <c r="C54" s="88"/>
      <c r="D54" s="89"/>
      <c r="E54" s="88"/>
      <c r="F54" s="88"/>
      <c r="G54" s="90">
        <f t="shared" si="44"/>
        <v>0</v>
      </c>
      <c r="H54" s="91" t="str">
        <f t="shared" si="1"/>
        <v>-</v>
      </c>
      <c r="I54" s="962"/>
      <c r="J54" s="88"/>
      <c r="K54" s="88"/>
      <c r="L54" s="90">
        <f t="shared" si="45"/>
        <v>0</v>
      </c>
      <c r="M54" s="91" t="str">
        <f t="shared" si="9"/>
        <v>-</v>
      </c>
      <c r="N54" s="954"/>
      <c r="O54" s="88"/>
      <c r="P54" s="88"/>
      <c r="Q54" s="90">
        <f t="shared" si="46"/>
        <v>0</v>
      </c>
      <c r="R54" s="91" t="str">
        <f t="shared" si="10"/>
        <v>-</v>
      </c>
      <c r="S54" s="954"/>
      <c r="T54" s="88"/>
      <c r="U54" s="88"/>
      <c r="V54" s="90">
        <f t="shared" si="47"/>
        <v>0</v>
      </c>
      <c r="W54" s="91" t="str">
        <f t="shared" si="11"/>
        <v>-</v>
      </c>
      <c r="X54" s="957"/>
    </row>
    <row r="55" spans="1:24" x14ac:dyDescent="0.2">
      <c r="A55" s="416"/>
      <c r="B55" s="417"/>
      <c r="C55" s="163"/>
      <c r="D55" s="418"/>
      <c r="E55" s="163"/>
      <c r="F55" s="163"/>
      <c r="G55" s="164"/>
      <c r="H55" s="165"/>
      <c r="I55" s="166"/>
      <c r="J55" s="163"/>
      <c r="K55" s="163"/>
      <c r="L55" s="164"/>
      <c r="M55" s="165"/>
      <c r="N55" s="166"/>
      <c r="O55" s="163"/>
      <c r="P55" s="163"/>
      <c r="Q55" s="164"/>
      <c r="R55" s="165"/>
      <c r="S55" s="166"/>
      <c r="T55" s="163"/>
      <c r="U55" s="163"/>
      <c r="V55" s="164"/>
      <c r="W55" s="165"/>
      <c r="X55" s="166"/>
    </row>
    <row r="56" spans="1:24" x14ac:dyDescent="0.2">
      <c r="A56" s="30" t="s">
        <v>290</v>
      </c>
      <c r="B56" s="36"/>
      <c r="C56" s="36"/>
      <c r="D56" s="36"/>
      <c r="E56" s="36"/>
      <c r="F56" s="36"/>
      <c r="G56" s="43"/>
      <c r="H56" s="43"/>
      <c r="I56" s="36"/>
      <c r="J56" s="36"/>
      <c r="K56" s="36"/>
      <c r="L56" s="43"/>
      <c r="M56" s="43"/>
      <c r="N56" s="36"/>
      <c r="O56" s="36"/>
      <c r="P56" s="36"/>
      <c r="Q56" s="43"/>
      <c r="R56" s="43"/>
      <c r="S56" s="36"/>
      <c r="T56" s="36"/>
      <c r="U56" s="36"/>
      <c r="V56" s="43"/>
      <c r="W56" s="43"/>
      <c r="X56" s="36"/>
    </row>
    <row r="57" spans="1:24" ht="36.6" customHeight="1" x14ac:dyDescent="0.2">
      <c r="A57" s="926" t="s">
        <v>490</v>
      </c>
      <c r="B57" s="926"/>
      <c r="C57" s="926"/>
      <c r="D57" s="926"/>
      <c r="E57" s="926"/>
      <c r="F57" s="926"/>
      <c r="G57" s="926"/>
      <c r="H57" s="47"/>
      <c r="I57" s="47"/>
      <c r="J57" s="47"/>
      <c r="K57" s="47"/>
      <c r="L57" s="47"/>
      <c r="M57" s="47"/>
      <c r="N57" s="47"/>
      <c r="O57" s="47"/>
      <c r="P57" s="47"/>
      <c r="Q57" s="47"/>
      <c r="R57" s="47"/>
      <c r="S57" s="47"/>
      <c r="T57" s="47"/>
      <c r="U57" s="47"/>
      <c r="V57" s="47"/>
      <c r="W57" s="47"/>
      <c r="X57" s="47"/>
    </row>
  </sheetData>
  <sheetProtection formatColumns="0" formatRows="0" insertRows="0" deleteRows="0"/>
  <mergeCells count="8">
    <mergeCell ref="A57:G57"/>
    <mergeCell ref="S47:S54"/>
    <mergeCell ref="X47:X54"/>
    <mergeCell ref="B4:G4"/>
    <mergeCell ref="B20:G20"/>
    <mergeCell ref="B35:G35"/>
    <mergeCell ref="I47:I54"/>
    <mergeCell ref="N47:N54"/>
  </mergeCells>
  <pageMargins left="0.23622047244094491" right="0.23622047244094491" top="0.74803149606299213" bottom="0.74803149606299213" header="0.31496062992125984" footer="0.31496062992125984"/>
  <pageSetup paperSize="9" fitToHeight="0" orientation="landscape" r:id="rId1"/>
  <headerFooter>
    <oddHeader>&amp;C&amp;"Times New Roman,Bold"&amp;14Naudas plūsmas pārskats&amp;R&amp;"Times New Roman,Regular"&amp;14 4.pielikums</oddHeader>
    <oddFooter>&amp;C&amp;"Times New Roman,Regular"&amp;12&amp;F&amp;R&amp;"Times New Roman,Regular"&amp;12&amp;P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AK105"/>
  <sheetViews>
    <sheetView topLeftCell="B1" zoomScaleNormal="100" zoomScaleSheetLayoutView="90" zoomScalePageLayoutView="40" workbookViewId="0">
      <pane ySplit="1" topLeftCell="A80" activePane="bottomLeft" state="frozen"/>
      <selection pane="bottomLeft" activeCell="V84" sqref="V84:W89"/>
    </sheetView>
  </sheetViews>
  <sheetFormatPr defaultColWidth="9.140625" defaultRowHeight="18.75" outlineLevelCol="1" x14ac:dyDescent="0.2"/>
  <cols>
    <col min="1" max="1" width="9.5703125" style="10" customWidth="1"/>
    <col min="2" max="2" width="53.42578125" style="10" customWidth="1"/>
    <col min="3" max="3" width="15.85546875" style="10" hidden="1" customWidth="1"/>
    <col min="4" max="4" width="15.5703125" style="11" hidden="1" customWidth="1"/>
    <col min="5" max="5" width="22" style="10" hidden="1" customWidth="1"/>
    <col min="6" max="6" width="20.5703125" style="10" hidden="1" customWidth="1" outlineLevel="1"/>
    <col min="7" max="7" width="22.5703125" style="10" hidden="1" customWidth="1" outlineLevel="1"/>
    <col min="8" max="8" width="19.28515625" style="13" hidden="1" customWidth="1" outlineLevel="1"/>
    <col min="9" max="9" width="72.85546875" style="13" hidden="1" customWidth="1" outlineLevel="1"/>
    <col min="10" max="10" width="22" style="10" hidden="1" customWidth="1" collapsed="1"/>
    <col min="11" max="11" width="20.5703125" style="10" hidden="1" customWidth="1" outlineLevel="1"/>
    <col min="12" max="12" width="22.5703125" style="10" hidden="1" customWidth="1" outlineLevel="1"/>
    <col min="13" max="13" width="19.28515625" style="13" hidden="1" customWidth="1" outlineLevel="1"/>
    <col min="14" max="14" width="36.7109375" style="13" hidden="1" customWidth="1" outlineLevel="1"/>
    <col min="15" max="15" width="22" style="10" hidden="1" customWidth="1" collapsed="1"/>
    <col min="16" max="16" width="20.5703125" style="10" hidden="1" customWidth="1" outlineLevel="1"/>
    <col min="17" max="17" width="22.5703125" style="10" hidden="1" customWidth="1" outlineLevel="1"/>
    <col min="18" max="18" width="19.28515625" style="13" hidden="1" customWidth="1" outlineLevel="1"/>
    <col min="19" max="19" width="33.140625" style="13" hidden="1" customWidth="1" outlineLevel="1"/>
    <col min="20" max="20" width="16.140625" style="10" customWidth="1" collapsed="1"/>
    <col min="21" max="21" width="15" style="10" customWidth="1" outlineLevel="1"/>
    <col min="22" max="22" width="22.5703125" style="10" customWidth="1" outlineLevel="1"/>
    <col min="23" max="23" width="19.28515625" style="13" customWidth="1" outlineLevel="1"/>
    <col min="24" max="24" width="29.5703125" style="13" customWidth="1" outlineLevel="1"/>
    <col min="25" max="26" width="9.140625" style="10" customWidth="1"/>
    <col min="27" max="16384" width="9.140625" style="10"/>
  </cols>
  <sheetData>
    <row r="1" spans="1:24" ht="78.75" x14ac:dyDescent="0.25">
      <c r="A1" s="79" t="s">
        <v>0</v>
      </c>
      <c r="B1" s="169" t="s">
        <v>491</v>
      </c>
      <c r="C1" s="495" t="s">
        <v>492</v>
      </c>
      <c r="D1" s="24" t="s">
        <v>3</v>
      </c>
      <c r="E1" s="24" t="s">
        <v>4</v>
      </c>
      <c r="F1" s="24" t="s">
        <v>5</v>
      </c>
      <c r="G1" s="25" t="s">
        <v>6</v>
      </c>
      <c r="H1" s="26" t="s">
        <v>7</v>
      </c>
      <c r="I1" s="24" t="s">
        <v>493</v>
      </c>
      <c r="J1" s="24" t="s">
        <v>494</v>
      </c>
      <c r="K1" s="24" t="s">
        <v>10</v>
      </c>
      <c r="L1" s="25" t="s">
        <v>6</v>
      </c>
      <c r="M1" s="26" t="s">
        <v>7</v>
      </c>
      <c r="N1" s="24" t="s">
        <v>493</v>
      </c>
      <c r="O1" s="24" t="s">
        <v>11</v>
      </c>
      <c r="P1" s="24" t="s">
        <v>12</v>
      </c>
      <c r="Q1" s="25" t="s">
        <v>6</v>
      </c>
      <c r="R1" s="26" t="s">
        <v>7</v>
      </c>
      <c r="S1" s="24" t="s">
        <v>493</v>
      </c>
      <c r="T1" s="24" t="s">
        <v>13</v>
      </c>
      <c r="U1" s="24" t="s">
        <v>14</v>
      </c>
      <c r="V1" s="25" t="s">
        <v>6</v>
      </c>
      <c r="W1" s="26" t="s">
        <v>7</v>
      </c>
      <c r="X1" s="24" t="s">
        <v>493</v>
      </c>
    </row>
    <row r="2" spans="1:24" ht="12" customHeight="1" x14ac:dyDescent="0.25">
      <c r="A2" s="33">
        <v>1</v>
      </c>
      <c r="B2" s="24">
        <v>2</v>
      </c>
      <c r="C2" s="496">
        <v>3</v>
      </c>
      <c r="D2" s="24">
        <v>4</v>
      </c>
      <c r="E2" s="24">
        <v>5</v>
      </c>
      <c r="F2" s="24">
        <v>6</v>
      </c>
      <c r="G2" s="25">
        <v>7</v>
      </c>
      <c r="H2" s="27">
        <v>8</v>
      </c>
      <c r="I2" s="24">
        <v>9</v>
      </c>
      <c r="J2" s="24">
        <v>10</v>
      </c>
      <c r="K2" s="24">
        <v>11</v>
      </c>
      <c r="L2" s="25">
        <v>12</v>
      </c>
      <c r="M2" s="27">
        <v>13</v>
      </c>
      <c r="N2" s="24">
        <v>14</v>
      </c>
      <c r="O2" s="24">
        <v>15</v>
      </c>
      <c r="P2" s="24">
        <v>16</v>
      </c>
      <c r="Q2" s="25">
        <v>17</v>
      </c>
      <c r="R2" s="27">
        <v>18</v>
      </c>
      <c r="S2" s="24">
        <v>19</v>
      </c>
      <c r="T2" s="24">
        <v>20</v>
      </c>
      <c r="U2" s="24">
        <v>21</v>
      </c>
      <c r="V2" s="25">
        <v>22</v>
      </c>
      <c r="W2" s="27">
        <v>23</v>
      </c>
      <c r="X2" s="24">
        <v>24</v>
      </c>
    </row>
    <row r="3" spans="1:24" ht="18" customHeight="1" x14ac:dyDescent="0.25">
      <c r="A3" s="273" t="s">
        <v>495</v>
      </c>
      <c r="B3" s="274" t="s">
        <v>496</v>
      </c>
      <c r="C3" s="488" t="s">
        <v>497</v>
      </c>
      <c r="D3" s="275" t="s">
        <v>497</v>
      </c>
      <c r="E3" s="275" t="s">
        <v>497</v>
      </c>
      <c r="F3" s="276" t="s">
        <v>497</v>
      </c>
      <c r="G3" s="350" t="s">
        <v>497</v>
      </c>
      <c r="H3" s="277" t="s">
        <v>497</v>
      </c>
      <c r="I3" s="277" t="s">
        <v>497</v>
      </c>
      <c r="J3" s="275" t="s">
        <v>497</v>
      </c>
      <c r="K3" s="276" t="s">
        <v>497</v>
      </c>
      <c r="L3" s="276" t="s">
        <v>497</v>
      </c>
      <c r="M3" s="277" t="s">
        <v>497</v>
      </c>
      <c r="N3" s="277" t="s">
        <v>497</v>
      </c>
      <c r="O3" s="275" t="s">
        <v>497</v>
      </c>
      <c r="P3" s="276" t="s">
        <v>497</v>
      </c>
      <c r="Q3" s="276" t="s">
        <v>497</v>
      </c>
      <c r="R3" s="277" t="s">
        <v>497</v>
      </c>
      <c r="S3" s="277" t="s">
        <v>497</v>
      </c>
      <c r="T3" s="275" t="s">
        <v>497</v>
      </c>
      <c r="U3" s="276" t="s">
        <v>497</v>
      </c>
      <c r="V3" s="276" t="s">
        <v>497</v>
      </c>
      <c r="W3" s="277" t="s">
        <v>497</v>
      </c>
      <c r="X3" s="801" t="s">
        <v>497</v>
      </c>
    </row>
    <row r="4" spans="1:24" ht="51" customHeight="1" x14ac:dyDescent="0.25">
      <c r="A4" s="185" t="s">
        <v>498</v>
      </c>
      <c r="B4" s="105" t="s">
        <v>499</v>
      </c>
      <c r="C4" s="489" t="s">
        <v>497</v>
      </c>
      <c r="D4" s="186" t="s">
        <v>497</v>
      </c>
      <c r="E4" s="186" t="s">
        <v>497</v>
      </c>
      <c r="F4" s="186" t="s">
        <v>497</v>
      </c>
      <c r="G4" s="96" t="s">
        <v>497</v>
      </c>
      <c r="H4" s="95" t="s">
        <v>497</v>
      </c>
      <c r="I4" s="95" t="s">
        <v>497</v>
      </c>
      <c r="J4" s="186" t="s">
        <v>497</v>
      </c>
      <c r="K4" s="186" t="s">
        <v>497</v>
      </c>
      <c r="L4" s="186" t="s">
        <v>497</v>
      </c>
      <c r="M4" s="95" t="s">
        <v>497</v>
      </c>
      <c r="N4" s="95" t="s">
        <v>497</v>
      </c>
      <c r="O4" s="186" t="s">
        <v>497</v>
      </c>
      <c r="P4" s="186" t="s">
        <v>497</v>
      </c>
      <c r="Q4" s="186" t="s">
        <v>497</v>
      </c>
      <c r="R4" s="186" t="s">
        <v>497</v>
      </c>
      <c r="S4" s="95" t="s">
        <v>497</v>
      </c>
      <c r="T4" s="186" t="s">
        <v>497</v>
      </c>
      <c r="U4" s="186" t="s">
        <v>497</v>
      </c>
      <c r="V4" s="186" t="s">
        <v>497</v>
      </c>
      <c r="W4" s="95" t="s">
        <v>497</v>
      </c>
      <c r="X4" s="810" t="s">
        <v>497</v>
      </c>
    </row>
    <row r="5" spans="1:24" ht="33" customHeight="1" x14ac:dyDescent="0.25">
      <c r="A5" s="187" t="s">
        <v>500</v>
      </c>
      <c r="B5" s="188" t="s">
        <v>501</v>
      </c>
      <c r="C5" s="490" t="s">
        <v>502</v>
      </c>
      <c r="D5" s="189">
        <v>27332</v>
      </c>
      <c r="E5" s="59">
        <v>6347</v>
      </c>
      <c r="F5" s="59">
        <v>6260</v>
      </c>
      <c r="G5" s="348">
        <f t="shared" ref="G5:G40" si="0">F5-E5</f>
        <v>-87</v>
      </c>
      <c r="H5" s="349">
        <f t="shared" ref="H5:H40" si="1">IFERROR(G5/ABS(E5), "-")</f>
        <v>-1.370726327398771E-2</v>
      </c>
      <c r="I5" s="190"/>
      <c r="J5" s="59">
        <v>13755</v>
      </c>
      <c r="K5" s="732">
        <v>13046</v>
      </c>
      <c r="L5" s="60">
        <f>K5-J5</f>
        <v>-709</v>
      </c>
      <c r="M5" s="61">
        <f>L5/J5</f>
        <v>-5.1544892766266809E-2</v>
      </c>
      <c r="N5" s="190"/>
      <c r="O5" s="59">
        <v>21108</v>
      </c>
      <c r="P5" s="59">
        <v>20440</v>
      </c>
      <c r="Q5" s="65">
        <f t="shared" ref="Q5:Q40" si="2">P5-O5</f>
        <v>-668</v>
      </c>
      <c r="R5" s="61">
        <f t="shared" ref="R5:R40" si="3">IFERROR(Q5/ABS(O5), "-")</f>
        <v>-3.1646768997536476E-2</v>
      </c>
      <c r="S5" s="190"/>
      <c r="T5" s="189">
        <v>27332</v>
      </c>
      <c r="U5" s="59">
        <v>27017</v>
      </c>
      <c r="V5" s="60">
        <f>U5-T5</f>
        <v>-315</v>
      </c>
      <c r="W5" s="61">
        <f>IFERROR(V5/ABS(T5), "-")</f>
        <v>-1.152495243670423E-2</v>
      </c>
      <c r="X5" s="805"/>
    </row>
    <row r="6" spans="1:24" ht="50.1" customHeight="1" x14ac:dyDescent="0.25">
      <c r="A6" s="187" t="s">
        <v>503</v>
      </c>
      <c r="B6" s="191" t="s">
        <v>504</v>
      </c>
      <c r="C6" s="490" t="s">
        <v>505</v>
      </c>
      <c r="D6" s="117">
        <v>23558</v>
      </c>
      <c r="E6" s="64">
        <v>5378</v>
      </c>
      <c r="F6" s="64">
        <v>5315</v>
      </c>
      <c r="G6" s="348">
        <f t="shared" si="0"/>
        <v>-63</v>
      </c>
      <c r="H6" s="349">
        <f t="shared" si="1"/>
        <v>-1.171439196727408E-2</v>
      </c>
      <c r="I6" s="190"/>
      <c r="J6" s="64">
        <v>11873</v>
      </c>
      <c r="K6" s="732">
        <v>11214</v>
      </c>
      <c r="L6" s="60">
        <f t="shared" ref="L6:L14" si="4">K6-J6</f>
        <v>-659</v>
      </c>
      <c r="M6" s="61">
        <f t="shared" ref="M6:M14" si="5">L6/J6</f>
        <v>-5.5504084898509221E-2</v>
      </c>
      <c r="N6" s="190"/>
      <c r="O6" s="64">
        <v>18299</v>
      </c>
      <c r="P6" s="64">
        <v>17624</v>
      </c>
      <c r="Q6" s="65">
        <f t="shared" si="2"/>
        <v>-675</v>
      </c>
      <c r="R6" s="61">
        <f t="shared" si="3"/>
        <v>-3.6887261598994484E-2</v>
      </c>
      <c r="S6" s="190"/>
      <c r="T6" s="117">
        <v>23558</v>
      </c>
      <c r="U6" s="64">
        <v>23221</v>
      </c>
      <c r="V6" s="65">
        <f t="shared" ref="V6:V14" si="6">U6-T6</f>
        <v>-337</v>
      </c>
      <c r="W6" s="61">
        <f t="shared" ref="W6:W14" si="7">IFERROR(V6/ABS(T6), "-")</f>
        <v>-1.430511928007471E-2</v>
      </c>
      <c r="X6" s="805"/>
    </row>
    <row r="7" spans="1:24" ht="32.1" customHeight="1" x14ac:dyDescent="0.25">
      <c r="A7" s="187" t="s">
        <v>506</v>
      </c>
      <c r="B7" s="191" t="s">
        <v>507</v>
      </c>
      <c r="C7" s="490" t="s">
        <v>508</v>
      </c>
      <c r="D7" s="117">
        <v>3774</v>
      </c>
      <c r="E7" s="64">
        <v>969</v>
      </c>
      <c r="F7" s="64">
        <v>945</v>
      </c>
      <c r="G7" s="348">
        <f t="shared" si="0"/>
        <v>-24</v>
      </c>
      <c r="H7" s="349">
        <f t="shared" si="1"/>
        <v>-2.4767801857585141E-2</v>
      </c>
      <c r="I7" s="190"/>
      <c r="J7" s="64">
        <v>1882</v>
      </c>
      <c r="K7" s="732">
        <v>1832</v>
      </c>
      <c r="L7" s="60">
        <f>K7-J7</f>
        <v>-50</v>
      </c>
      <c r="M7" s="61">
        <f t="shared" si="5"/>
        <v>-2.6567481402763018E-2</v>
      </c>
      <c r="N7" s="190"/>
      <c r="O7" s="64">
        <v>2809</v>
      </c>
      <c r="P7" s="81">
        <v>2816</v>
      </c>
      <c r="Q7" s="65">
        <f t="shared" si="2"/>
        <v>7</v>
      </c>
      <c r="R7" s="61">
        <f t="shared" si="3"/>
        <v>2.491990032039872E-3</v>
      </c>
      <c r="S7" s="190"/>
      <c r="T7" s="117">
        <v>3774</v>
      </c>
      <c r="U7" s="81">
        <v>3796</v>
      </c>
      <c r="V7" s="65">
        <f t="shared" si="6"/>
        <v>22</v>
      </c>
      <c r="W7" s="61">
        <f t="shared" si="7"/>
        <v>5.8293587705352413E-3</v>
      </c>
      <c r="X7" s="805"/>
    </row>
    <row r="8" spans="1:24" ht="32.1" customHeight="1" x14ac:dyDescent="0.25">
      <c r="A8" s="187" t="s">
        <v>509</v>
      </c>
      <c r="B8" s="191" t="s">
        <v>510</v>
      </c>
      <c r="C8" s="490">
        <v>0</v>
      </c>
      <c r="D8" s="192"/>
      <c r="E8" s="59"/>
      <c r="F8" s="59"/>
      <c r="G8" s="348">
        <f t="shared" si="0"/>
        <v>0</v>
      </c>
      <c r="H8" s="349" t="str">
        <f t="shared" si="1"/>
        <v>-</v>
      </c>
      <c r="I8" s="190"/>
      <c r="J8" s="59"/>
      <c r="K8" s="668"/>
      <c r="L8" s="60">
        <f t="shared" si="4"/>
        <v>0</v>
      </c>
      <c r="M8" s="61" t="e">
        <f t="shared" si="5"/>
        <v>#DIV/0!</v>
      </c>
      <c r="N8" s="190"/>
      <c r="O8" s="59"/>
      <c r="P8" s="59"/>
      <c r="Q8" s="65">
        <f t="shared" si="2"/>
        <v>0</v>
      </c>
      <c r="R8" s="61" t="str">
        <f t="shared" si="3"/>
        <v>-</v>
      </c>
      <c r="S8" s="190"/>
      <c r="T8" s="192"/>
      <c r="U8" s="59"/>
      <c r="V8" s="60">
        <f t="shared" si="6"/>
        <v>0</v>
      </c>
      <c r="W8" s="61" t="str">
        <f t="shared" si="7"/>
        <v>-</v>
      </c>
      <c r="X8" s="805"/>
    </row>
    <row r="9" spans="1:24" ht="31.5" customHeight="1" x14ac:dyDescent="0.25">
      <c r="A9" s="193" t="s">
        <v>511</v>
      </c>
      <c r="B9" s="194" t="s">
        <v>512</v>
      </c>
      <c r="C9" s="490" t="s">
        <v>513</v>
      </c>
      <c r="D9" s="117"/>
      <c r="E9" s="64"/>
      <c r="F9" s="64"/>
      <c r="G9" s="348">
        <f t="shared" si="0"/>
        <v>0</v>
      </c>
      <c r="H9" s="349" t="str">
        <f t="shared" si="1"/>
        <v>-</v>
      </c>
      <c r="I9" s="190"/>
      <c r="J9" s="64"/>
      <c r="K9" s="668"/>
      <c r="L9" s="60">
        <f t="shared" si="4"/>
        <v>0</v>
      </c>
      <c r="M9" s="61" t="e">
        <f t="shared" si="5"/>
        <v>#DIV/0!</v>
      </c>
      <c r="N9" s="190"/>
      <c r="O9" s="64"/>
      <c r="P9" s="64"/>
      <c r="Q9" s="65">
        <f t="shared" si="2"/>
        <v>0</v>
      </c>
      <c r="R9" s="61" t="str">
        <f t="shared" si="3"/>
        <v>-</v>
      </c>
      <c r="S9" s="190"/>
      <c r="T9" s="117"/>
      <c r="U9" s="64"/>
      <c r="V9" s="65">
        <f t="shared" si="6"/>
        <v>0</v>
      </c>
      <c r="W9" s="61" t="str">
        <f t="shared" si="7"/>
        <v>-</v>
      </c>
      <c r="X9" s="805"/>
    </row>
    <row r="10" spans="1:24" ht="30.95" customHeight="1" x14ac:dyDescent="0.25">
      <c r="A10" s="193" t="s">
        <v>514</v>
      </c>
      <c r="B10" s="194" t="s">
        <v>515</v>
      </c>
      <c r="C10" s="490" t="s">
        <v>513</v>
      </c>
      <c r="D10" s="117"/>
      <c r="E10" s="64"/>
      <c r="F10" s="64"/>
      <c r="G10" s="348">
        <f t="shared" si="0"/>
        <v>0</v>
      </c>
      <c r="H10" s="349" t="str">
        <f t="shared" si="1"/>
        <v>-</v>
      </c>
      <c r="I10" s="190"/>
      <c r="J10" s="64"/>
      <c r="K10" s="668"/>
      <c r="L10" s="60">
        <f t="shared" si="4"/>
        <v>0</v>
      </c>
      <c r="M10" s="61" t="e">
        <f t="shared" si="5"/>
        <v>#DIV/0!</v>
      </c>
      <c r="N10" s="190"/>
      <c r="O10" s="64"/>
      <c r="P10" s="64"/>
      <c r="Q10" s="65">
        <f t="shared" si="2"/>
        <v>0</v>
      </c>
      <c r="R10" s="61" t="str">
        <f t="shared" si="3"/>
        <v>-</v>
      </c>
      <c r="S10" s="190"/>
      <c r="T10" s="117"/>
      <c r="U10" s="64"/>
      <c r="V10" s="65">
        <f t="shared" si="6"/>
        <v>0</v>
      </c>
      <c r="W10" s="61" t="str">
        <f t="shared" si="7"/>
        <v>-</v>
      </c>
      <c r="X10" s="805"/>
    </row>
    <row r="11" spans="1:24" ht="35.450000000000003" customHeight="1" x14ac:dyDescent="0.25">
      <c r="A11" s="187" t="s">
        <v>516</v>
      </c>
      <c r="B11" s="195" t="s">
        <v>517</v>
      </c>
      <c r="C11" s="491" t="s">
        <v>508</v>
      </c>
      <c r="D11" s="196">
        <v>3774</v>
      </c>
      <c r="E11" s="196">
        <v>969</v>
      </c>
      <c r="F11" s="196">
        <v>945</v>
      </c>
      <c r="G11" s="348">
        <f t="shared" si="0"/>
        <v>-24</v>
      </c>
      <c r="H11" s="349">
        <f t="shared" si="1"/>
        <v>-2.4767801857585141E-2</v>
      </c>
      <c r="I11" s="190"/>
      <c r="J11" s="196">
        <v>1882</v>
      </c>
      <c r="K11" s="196">
        <v>1832</v>
      </c>
      <c r="L11" s="60">
        <f t="shared" si="4"/>
        <v>-50</v>
      </c>
      <c r="M11" s="61">
        <f t="shared" si="5"/>
        <v>-2.6567481402763018E-2</v>
      </c>
      <c r="N11" s="190"/>
      <c r="O11" s="196">
        <v>2809</v>
      </c>
      <c r="P11" s="196">
        <v>2816</v>
      </c>
      <c r="Q11" s="65">
        <f t="shared" si="2"/>
        <v>7</v>
      </c>
      <c r="R11" s="61">
        <f t="shared" si="3"/>
        <v>2.491990032039872E-3</v>
      </c>
      <c r="S11" s="190"/>
      <c r="T11" s="196">
        <v>3774</v>
      </c>
      <c r="U11" s="196">
        <v>3796</v>
      </c>
      <c r="V11" s="197">
        <f t="shared" si="6"/>
        <v>22</v>
      </c>
      <c r="W11" s="61">
        <f t="shared" si="7"/>
        <v>5.8293587705352413E-3</v>
      </c>
      <c r="X11" s="805"/>
    </row>
    <row r="12" spans="1:24" ht="32.1" customHeight="1" x14ac:dyDescent="0.25">
      <c r="A12" s="187" t="s">
        <v>518</v>
      </c>
      <c r="B12" s="195" t="s">
        <v>519</v>
      </c>
      <c r="C12" s="498">
        <v>13.58</v>
      </c>
      <c r="D12" s="198">
        <v>13.81</v>
      </c>
      <c r="E12" s="198">
        <v>15.27</v>
      </c>
      <c r="F12" s="198">
        <v>15.1</v>
      </c>
      <c r="G12" s="348">
        <f t="shared" si="0"/>
        <v>-0.16999999999999993</v>
      </c>
      <c r="H12" s="349">
        <f t="shared" si="1"/>
        <v>-1.1132940406024881E-2</v>
      </c>
      <c r="I12" s="190"/>
      <c r="J12" s="198">
        <v>13.68</v>
      </c>
      <c r="K12" s="733">
        <v>14</v>
      </c>
      <c r="L12" s="60">
        <f t="shared" si="4"/>
        <v>0.32000000000000028</v>
      </c>
      <c r="M12" s="61">
        <f t="shared" si="5"/>
        <v>2.3391812865497099E-2</v>
      </c>
      <c r="N12" s="190"/>
      <c r="O12" s="198">
        <v>13.31</v>
      </c>
      <c r="P12" s="198">
        <v>13.78</v>
      </c>
      <c r="Q12" s="65">
        <f t="shared" si="2"/>
        <v>0.46999999999999886</v>
      </c>
      <c r="R12" s="61">
        <f>IFERROR(Q12/ABS(O12), "-")</f>
        <v>3.5311795642374071E-2</v>
      </c>
      <c r="S12" s="190"/>
      <c r="T12" s="198">
        <v>13.81</v>
      </c>
      <c r="U12" s="198">
        <v>14.05</v>
      </c>
      <c r="V12" s="199">
        <f t="shared" si="6"/>
        <v>0.24000000000000021</v>
      </c>
      <c r="W12" s="61">
        <f t="shared" si="7"/>
        <v>1.7378711078928327E-2</v>
      </c>
      <c r="X12" s="805"/>
    </row>
    <row r="13" spans="1:24" ht="18" customHeight="1" x14ac:dyDescent="0.25">
      <c r="A13" s="187" t="s">
        <v>520</v>
      </c>
      <c r="B13" s="195" t="s">
        <v>521</v>
      </c>
      <c r="C13" s="491" t="s">
        <v>513</v>
      </c>
      <c r="D13" s="200"/>
      <c r="E13" s="200"/>
      <c r="F13" s="200"/>
      <c r="G13" s="348">
        <f t="shared" si="0"/>
        <v>0</v>
      </c>
      <c r="H13" s="349" t="str">
        <f t="shared" si="1"/>
        <v>-</v>
      </c>
      <c r="I13" s="190"/>
      <c r="J13" s="200"/>
      <c r="K13" s="733"/>
      <c r="L13" s="60">
        <f t="shared" si="4"/>
        <v>0</v>
      </c>
      <c r="M13" s="61" t="e">
        <f t="shared" si="5"/>
        <v>#DIV/0!</v>
      </c>
      <c r="N13" s="190"/>
      <c r="O13" s="200"/>
      <c r="P13" s="200"/>
      <c r="Q13" s="65">
        <f t="shared" si="2"/>
        <v>0</v>
      </c>
      <c r="R13" s="61" t="str">
        <f t="shared" si="3"/>
        <v>-</v>
      </c>
      <c r="S13" s="190"/>
      <c r="T13" s="200"/>
      <c r="U13" s="200"/>
      <c r="V13" s="201">
        <f t="shared" si="6"/>
        <v>0</v>
      </c>
      <c r="W13" s="61" t="str">
        <f t="shared" si="7"/>
        <v>-</v>
      </c>
      <c r="X13" s="805"/>
    </row>
    <row r="14" spans="1:24" ht="34.5" customHeight="1" x14ac:dyDescent="0.25">
      <c r="A14" s="187" t="s">
        <v>522</v>
      </c>
      <c r="B14" s="195" t="s">
        <v>523</v>
      </c>
      <c r="C14" s="491" t="s">
        <v>513</v>
      </c>
      <c r="D14" s="198"/>
      <c r="E14" s="198"/>
      <c r="F14" s="198"/>
      <c r="G14" s="348">
        <f t="shared" si="0"/>
        <v>0</v>
      </c>
      <c r="H14" s="349" t="str">
        <f t="shared" si="1"/>
        <v>-</v>
      </c>
      <c r="I14" s="190"/>
      <c r="J14" s="198"/>
      <c r="K14" s="733"/>
      <c r="L14" s="60">
        <f t="shared" si="4"/>
        <v>0</v>
      </c>
      <c r="M14" s="61" t="e">
        <f t="shared" si="5"/>
        <v>#DIV/0!</v>
      </c>
      <c r="N14" s="190"/>
      <c r="O14" s="198"/>
      <c r="P14" s="198"/>
      <c r="Q14" s="65">
        <f t="shared" si="2"/>
        <v>0</v>
      </c>
      <c r="R14" s="61" t="str">
        <f t="shared" si="3"/>
        <v>-</v>
      </c>
      <c r="S14" s="190"/>
      <c r="T14" s="198"/>
      <c r="U14" s="198"/>
      <c r="V14" s="199">
        <f t="shared" si="6"/>
        <v>0</v>
      </c>
      <c r="W14" s="61" t="str">
        <f t="shared" si="7"/>
        <v>-</v>
      </c>
      <c r="X14" s="805"/>
    </row>
    <row r="15" spans="1:24" ht="18" customHeight="1" x14ac:dyDescent="0.25">
      <c r="A15" s="273" t="s">
        <v>524</v>
      </c>
      <c r="B15" s="278" t="s">
        <v>525</v>
      </c>
      <c r="C15" s="488" t="s">
        <v>497</v>
      </c>
      <c r="D15" s="279" t="s">
        <v>497</v>
      </c>
      <c r="E15" s="275" t="s">
        <v>497</v>
      </c>
      <c r="F15" s="276" t="s">
        <v>497</v>
      </c>
      <c r="G15" s="275" t="s">
        <v>497</v>
      </c>
      <c r="H15" s="276" t="s">
        <v>497</v>
      </c>
      <c r="I15" s="277" t="s">
        <v>497</v>
      </c>
      <c r="J15" s="275" t="s">
        <v>497</v>
      </c>
      <c r="K15" s="276" t="s">
        <v>497</v>
      </c>
      <c r="L15" s="276" t="s">
        <v>497</v>
      </c>
      <c r="M15" s="277" t="s">
        <v>497</v>
      </c>
      <c r="N15" s="277" t="s">
        <v>497</v>
      </c>
      <c r="O15" s="275" t="s">
        <v>497</v>
      </c>
      <c r="P15" s="276" t="s">
        <v>497</v>
      </c>
      <c r="Q15" s="275" t="s">
        <v>497</v>
      </c>
      <c r="R15" s="276" t="s">
        <v>497</v>
      </c>
      <c r="S15" s="277" t="s">
        <v>497</v>
      </c>
      <c r="T15" s="275"/>
      <c r="U15" s="276" t="s">
        <v>497</v>
      </c>
      <c r="V15" s="276" t="s">
        <v>497</v>
      </c>
      <c r="W15" s="277" t="s">
        <v>497</v>
      </c>
      <c r="X15" s="801" t="s">
        <v>497</v>
      </c>
    </row>
    <row r="16" spans="1:24" ht="18" customHeight="1" x14ac:dyDescent="0.25">
      <c r="A16" s="204" t="s">
        <v>526</v>
      </c>
      <c r="B16" s="205" t="s">
        <v>527</v>
      </c>
      <c r="C16" s="503">
        <v>220</v>
      </c>
      <c r="D16" s="206">
        <v>220</v>
      </c>
      <c r="E16" s="207">
        <v>220</v>
      </c>
      <c r="F16" s="207">
        <v>220</v>
      </c>
      <c r="G16" s="348">
        <f t="shared" si="0"/>
        <v>0</v>
      </c>
      <c r="H16" s="349">
        <f t="shared" si="1"/>
        <v>0</v>
      </c>
      <c r="I16" s="190"/>
      <c r="J16" s="207">
        <v>220</v>
      </c>
      <c r="K16" s="668">
        <v>220</v>
      </c>
      <c r="L16" s="208">
        <f>K16-J16</f>
        <v>0</v>
      </c>
      <c r="M16" s="61">
        <f>L16/J16</f>
        <v>0</v>
      </c>
      <c r="N16" s="190"/>
      <c r="O16" s="207">
        <v>220</v>
      </c>
      <c r="P16" s="207">
        <v>220</v>
      </c>
      <c r="Q16" s="65">
        <f t="shared" si="2"/>
        <v>0</v>
      </c>
      <c r="R16" s="61">
        <f t="shared" si="3"/>
        <v>0</v>
      </c>
      <c r="S16" s="190"/>
      <c r="T16" s="207">
        <v>220</v>
      </c>
      <c r="U16" s="207">
        <v>220</v>
      </c>
      <c r="V16" s="208">
        <f t="shared" ref="V16:V30" si="8">U16-T16</f>
        <v>0</v>
      </c>
      <c r="W16" s="61">
        <f t="shared" ref="W16:W30" si="9">IFERROR(V16/ABS(T16), "-")</f>
        <v>0</v>
      </c>
      <c r="X16" s="805"/>
    </row>
    <row r="17" spans="1:24" ht="18" customHeight="1" x14ac:dyDescent="0.25">
      <c r="A17" s="204" t="s">
        <v>528</v>
      </c>
      <c r="B17" s="16" t="s">
        <v>529</v>
      </c>
      <c r="C17" s="503" t="s">
        <v>530</v>
      </c>
      <c r="D17" s="209">
        <v>45272</v>
      </c>
      <c r="E17" s="207">
        <v>11318</v>
      </c>
      <c r="F17" s="207">
        <v>10820</v>
      </c>
      <c r="G17" s="348">
        <f>F17-E17</f>
        <v>-498</v>
      </c>
      <c r="H17" s="349">
        <f t="shared" si="1"/>
        <v>-4.4000706838664076E-2</v>
      </c>
      <c r="I17" s="190"/>
      <c r="J17" s="207">
        <v>22262</v>
      </c>
      <c r="K17" s="732">
        <v>21992</v>
      </c>
      <c r="L17" s="208">
        <f t="shared" ref="L17:L30" si="10">K17-J17</f>
        <v>-270</v>
      </c>
      <c r="M17" s="61">
        <f t="shared" ref="M17:M30" si="11">L17/J17</f>
        <v>-1.2128290360255143E-2</v>
      </c>
      <c r="N17" s="190"/>
      <c r="O17" s="207">
        <v>33627</v>
      </c>
      <c r="P17" s="207">
        <v>33112</v>
      </c>
      <c r="Q17" s="65">
        <f t="shared" si="2"/>
        <v>-515</v>
      </c>
      <c r="R17" s="61">
        <f t="shared" si="3"/>
        <v>-1.531507419633033E-2</v>
      </c>
      <c r="S17" s="190"/>
      <c r="T17" s="207">
        <v>45272</v>
      </c>
      <c r="U17" s="207">
        <v>44479</v>
      </c>
      <c r="V17" s="65">
        <f t="shared" si="8"/>
        <v>-793</v>
      </c>
      <c r="W17" s="61">
        <f t="shared" si="9"/>
        <v>-1.7516345644106732E-2</v>
      </c>
      <c r="X17" s="805"/>
    </row>
    <row r="18" spans="1:24" ht="32.450000000000003" customHeight="1" x14ac:dyDescent="0.25">
      <c r="A18" s="210" t="s">
        <v>531</v>
      </c>
      <c r="B18" s="15" t="s">
        <v>532</v>
      </c>
      <c r="C18" s="509">
        <v>660</v>
      </c>
      <c r="D18" s="517">
        <f>29867361/D17</f>
        <v>659.73142339635979</v>
      </c>
      <c r="E18" s="617">
        <f>7278757/E17</f>
        <v>643.11335925075105</v>
      </c>
      <c r="F18" s="18">
        <f>6971504/F17</f>
        <v>644.31645101663582</v>
      </c>
      <c r="G18" s="348">
        <f t="shared" ref="G18:G19" si="12">F18-E18</f>
        <v>1.2030917658847784</v>
      </c>
      <c r="H18" s="349">
        <f t="shared" si="1"/>
        <v>1.8707304841037997E-3</v>
      </c>
      <c r="I18" s="211"/>
      <c r="J18" s="617">
        <f>14636654/J17</f>
        <v>657.47255412811069</v>
      </c>
      <c r="K18" s="18">
        <f>15302761/K17</f>
        <v>695.83307566387782</v>
      </c>
      <c r="L18" s="208">
        <f t="shared" si="10"/>
        <v>38.360521535767134</v>
      </c>
      <c r="M18" s="61">
        <f t="shared" si="11"/>
        <v>5.8345434033574062E-2</v>
      </c>
      <c r="N18" s="211"/>
      <c r="O18" s="617">
        <f>22047383/O17</f>
        <v>655.64525530079993</v>
      </c>
      <c r="P18" s="18">
        <f>22212901.7/P17</f>
        <v>670.84143814931144</v>
      </c>
      <c r="Q18" s="65">
        <f t="shared" si="2"/>
        <v>15.196182848511512</v>
      </c>
      <c r="R18" s="61">
        <f t="shared" si="3"/>
        <v>2.3177446531722001E-2</v>
      </c>
      <c r="S18" s="211"/>
      <c r="T18" s="618">
        <v>660</v>
      </c>
      <c r="U18" s="18">
        <f>30540211/U17</f>
        <v>686.62089975044398</v>
      </c>
      <c r="V18" s="68">
        <f t="shared" si="8"/>
        <v>26.620899750443982</v>
      </c>
      <c r="W18" s="72">
        <f t="shared" si="9"/>
        <v>4.0334696591581794E-2</v>
      </c>
      <c r="X18" s="806"/>
    </row>
    <row r="19" spans="1:24" ht="18" customHeight="1" x14ac:dyDescent="0.25">
      <c r="A19" s="210" t="s">
        <v>533</v>
      </c>
      <c r="B19" s="15" t="s">
        <v>534</v>
      </c>
      <c r="C19" s="509">
        <v>631</v>
      </c>
      <c r="D19" s="517">
        <f>27976595.38/D17</f>
        <v>617.96685324262239</v>
      </c>
      <c r="E19" s="614">
        <f>7232347.847/E17</f>
        <v>639.01288628732993</v>
      </c>
      <c r="F19" s="615">
        <f>((7724490*0.93823907657)-67161+71582-1467482+1564081-20961+22341)/F17</f>
        <v>679.28081003458408</v>
      </c>
      <c r="G19" s="348">
        <f t="shared" si="12"/>
        <v>40.267923747254144</v>
      </c>
      <c r="H19" s="349">
        <f t="shared" si="1"/>
        <v>6.3015824267975418E-2</v>
      </c>
      <c r="I19" s="616"/>
      <c r="J19" s="614">
        <f>14125769.48/J17</f>
        <v>634.52382894618631</v>
      </c>
      <c r="K19" s="615">
        <f>14559881.37/K17</f>
        <v>662.05353628592206</v>
      </c>
      <c r="L19" s="208">
        <f t="shared" si="10"/>
        <v>27.529707339735751</v>
      </c>
      <c r="M19" s="61">
        <f t="shared" si="11"/>
        <v>4.3386404235530349E-2</v>
      </c>
      <c r="N19" s="616"/>
      <c r="O19" s="614">
        <f>21024774.12/O17</f>
        <v>625.23490409492376</v>
      </c>
      <c r="P19" s="615">
        <f>23111452/P17</f>
        <v>697.97813481517278</v>
      </c>
      <c r="Q19" s="65">
        <f t="shared" si="2"/>
        <v>72.743230720249016</v>
      </c>
      <c r="R19" s="61">
        <f t="shared" si="3"/>
        <v>0.11634544111952692</v>
      </c>
      <c r="S19" s="616"/>
      <c r="T19" s="614">
        <v>618</v>
      </c>
      <c r="U19" s="18">
        <f>30939559.24/U17</f>
        <v>695.59925447964201</v>
      </c>
      <c r="V19" s="68">
        <f t="shared" si="8"/>
        <v>77.599254479642013</v>
      </c>
      <c r="W19" s="72">
        <f t="shared" si="9"/>
        <v>0.12556513669844985</v>
      </c>
      <c r="X19" s="806"/>
    </row>
    <row r="20" spans="1:24" ht="18" customHeight="1" x14ac:dyDescent="0.25">
      <c r="A20" s="204" t="s">
        <v>535</v>
      </c>
      <c r="B20" s="212" t="s">
        <v>536</v>
      </c>
      <c r="C20" s="503" t="s">
        <v>537</v>
      </c>
      <c r="D20" s="206">
        <v>7697</v>
      </c>
      <c r="E20" s="207">
        <v>1924</v>
      </c>
      <c r="F20" s="207">
        <v>1915</v>
      </c>
      <c r="G20" s="348">
        <f t="shared" si="0"/>
        <v>-9</v>
      </c>
      <c r="H20" s="349">
        <f t="shared" si="1"/>
        <v>-4.677754677754678E-3</v>
      </c>
      <c r="I20" s="190"/>
      <c r="J20" s="207">
        <v>3963</v>
      </c>
      <c r="K20" s="732">
        <v>3788</v>
      </c>
      <c r="L20" s="208">
        <f t="shared" si="10"/>
        <v>-175</v>
      </c>
      <c r="M20" s="61">
        <f t="shared" si="11"/>
        <v>-4.4158465808730757E-2</v>
      </c>
      <c r="N20" s="190"/>
      <c r="O20" s="207">
        <v>5831</v>
      </c>
      <c r="P20" s="207">
        <v>5698</v>
      </c>
      <c r="Q20" s="65">
        <f t="shared" si="2"/>
        <v>-133</v>
      </c>
      <c r="R20" s="61">
        <f t="shared" si="3"/>
        <v>-2.2809123649459785E-2</v>
      </c>
      <c r="S20" s="190"/>
      <c r="T20" s="206">
        <v>7697</v>
      </c>
      <c r="U20" s="207">
        <v>7482</v>
      </c>
      <c r="V20" s="65">
        <f t="shared" si="8"/>
        <v>-215</v>
      </c>
      <c r="W20" s="61">
        <f t="shared" si="9"/>
        <v>-2.7932960893854747E-2</v>
      </c>
      <c r="X20" s="805"/>
    </row>
    <row r="21" spans="1:24" ht="18" customHeight="1" x14ac:dyDescent="0.25">
      <c r="A21" s="381" t="s">
        <v>538</v>
      </c>
      <c r="B21" s="382" t="s">
        <v>539</v>
      </c>
      <c r="C21" s="509" t="s">
        <v>540</v>
      </c>
      <c r="D21" s="383">
        <v>7302</v>
      </c>
      <c r="E21" s="18">
        <v>1826</v>
      </c>
      <c r="F21" s="18">
        <v>1810</v>
      </c>
      <c r="G21" s="348">
        <f t="shared" si="0"/>
        <v>-16</v>
      </c>
      <c r="H21" s="349">
        <f t="shared" si="1"/>
        <v>-8.7623220153340634E-3</v>
      </c>
      <c r="I21" s="211"/>
      <c r="J21" s="18">
        <v>3775</v>
      </c>
      <c r="K21" s="71">
        <v>3578</v>
      </c>
      <c r="L21" s="208">
        <f t="shared" si="10"/>
        <v>-197</v>
      </c>
      <c r="M21" s="61">
        <f t="shared" si="11"/>
        <v>-5.2185430463576161E-2</v>
      </c>
      <c r="N21" s="211"/>
      <c r="O21" s="18">
        <v>5538</v>
      </c>
      <c r="P21" s="18">
        <v>5412</v>
      </c>
      <c r="Q21" s="65">
        <f t="shared" si="2"/>
        <v>-126</v>
      </c>
      <c r="R21" s="61">
        <f t="shared" si="3"/>
        <v>-2.2751895991332611E-2</v>
      </c>
      <c r="S21" s="211"/>
      <c r="T21" s="383">
        <v>7129</v>
      </c>
      <c r="U21" s="18">
        <v>7288</v>
      </c>
      <c r="V21" s="82">
        <f t="shared" si="8"/>
        <v>159</v>
      </c>
      <c r="W21" s="72">
        <f t="shared" si="9"/>
        <v>2.2303268340580728E-2</v>
      </c>
      <c r="X21" s="806"/>
    </row>
    <row r="22" spans="1:24" ht="18" customHeight="1" x14ac:dyDescent="0.25">
      <c r="A22" s="210" t="s">
        <v>541</v>
      </c>
      <c r="B22" s="384" t="s">
        <v>542</v>
      </c>
      <c r="C22" s="509" t="s">
        <v>543</v>
      </c>
      <c r="D22" s="383">
        <v>3923</v>
      </c>
      <c r="E22" s="18">
        <v>955</v>
      </c>
      <c r="F22" s="18">
        <v>970</v>
      </c>
      <c r="G22" s="348">
        <f t="shared" si="0"/>
        <v>15</v>
      </c>
      <c r="H22" s="349">
        <f t="shared" si="1"/>
        <v>1.5706806282722512E-2</v>
      </c>
      <c r="I22" s="211"/>
      <c r="J22" s="18">
        <v>2081</v>
      </c>
      <c r="K22" s="71">
        <v>1956</v>
      </c>
      <c r="L22" s="208">
        <f t="shared" si="10"/>
        <v>-125</v>
      </c>
      <c r="M22" s="61">
        <f t="shared" si="11"/>
        <v>-6.0067275348390195E-2</v>
      </c>
      <c r="N22" s="211"/>
      <c r="O22" s="18">
        <v>3022</v>
      </c>
      <c r="P22" s="18">
        <v>2882</v>
      </c>
      <c r="Q22" s="65">
        <f t="shared" si="2"/>
        <v>-140</v>
      </c>
      <c r="R22" s="61">
        <f t="shared" si="3"/>
        <v>-4.6326935804103242E-2</v>
      </c>
      <c r="S22" s="211"/>
      <c r="T22" s="383">
        <v>3923</v>
      </c>
      <c r="U22" s="18">
        <v>3686</v>
      </c>
      <c r="V22" s="82">
        <f t="shared" si="8"/>
        <v>-237</v>
      </c>
      <c r="W22" s="72">
        <f t="shared" si="9"/>
        <v>-6.0412949273515169E-2</v>
      </c>
      <c r="X22" s="806"/>
    </row>
    <row r="23" spans="1:24" ht="18" customHeight="1" x14ac:dyDescent="0.25">
      <c r="A23" s="381" t="s">
        <v>544</v>
      </c>
      <c r="B23" s="382" t="s">
        <v>545</v>
      </c>
      <c r="C23" s="509" t="s">
        <v>546</v>
      </c>
      <c r="D23" s="383">
        <v>3561</v>
      </c>
      <c r="E23" s="18">
        <v>866</v>
      </c>
      <c r="F23" s="18">
        <v>868</v>
      </c>
      <c r="G23" s="348">
        <f t="shared" si="0"/>
        <v>2</v>
      </c>
      <c r="H23" s="349">
        <f t="shared" si="1"/>
        <v>2.3094688221709007E-3</v>
      </c>
      <c r="I23" s="211"/>
      <c r="J23" s="18">
        <v>1914</v>
      </c>
      <c r="K23" s="71">
        <v>1754</v>
      </c>
      <c r="L23" s="208">
        <f t="shared" si="10"/>
        <v>-160</v>
      </c>
      <c r="M23" s="61">
        <f t="shared" si="11"/>
        <v>-8.3594566353187044E-2</v>
      </c>
      <c r="N23" s="211"/>
      <c r="O23" s="18">
        <v>2756</v>
      </c>
      <c r="P23" s="18">
        <v>2608</v>
      </c>
      <c r="Q23" s="65">
        <f t="shared" si="2"/>
        <v>-148</v>
      </c>
      <c r="R23" s="61">
        <f t="shared" si="3"/>
        <v>-5.3701015965166909E-2</v>
      </c>
      <c r="S23" s="211"/>
      <c r="T23" s="383">
        <v>3561</v>
      </c>
      <c r="U23" s="18">
        <v>3346</v>
      </c>
      <c r="V23" s="82">
        <f t="shared" si="8"/>
        <v>-215</v>
      </c>
      <c r="W23" s="72">
        <f t="shared" si="9"/>
        <v>-6.0376298792474026E-2</v>
      </c>
      <c r="X23" s="806"/>
    </row>
    <row r="24" spans="1:24" ht="18" customHeight="1" x14ac:dyDescent="0.25">
      <c r="A24" s="213" t="s">
        <v>547</v>
      </c>
      <c r="B24" s="212" t="s">
        <v>548</v>
      </c>
      <c r="C24" s="503" t="s">
        <v>508</v>
      </c>
      <c r="D24" s="206">
        <v>3774</v>
      </c>
      <c r="E24" s="207">
        <v>969</v>
      </c>
      <c r="F24" s="207">
        <v>945</v>
      </c>
      <c r="G24" s="348">
        <f t="shared" si="0"/>
        <v>-24</v>
      </c>
      <c r="H24" s="349">
        <f t="shared" si="1"/>
        <v>-2.4767801857585141E-2</v>
      </c>
      <c r="I24" s="190"/>
      <c r="J24" s="207">
        <v>1882</v>
      </c>
      <c r="K24" s="732">
        <v>1832</v>
      </c>
      <c r="L24" s="208">
        <f t="shared" si="10"/>
        <v>-50</v>
      </c>
      <c r="M24" s="61">
        <f t="shared" si="11"/>
        <v>-2.6567481402763018E-2</v>
      </c>
      <c r="N24" s="190"/>
      <c r="O24" s="207">
        <v>2809</v>
      </c>
      <c r="P24" s="207">
        <v>2816</v>
      </c>
      <c r="Q24" s="65">
        <f t="shared" si="2"/>
        <v>7</v>
      </c>
      <c r="R24" s="61">
        <f t="shared" si="3"/>
        <v>2.491990032039872E-3</v>
      </c>
      <c r="S24" s="190"/>
      <c r="T24" s="206">
        <v>3774</v>
      </c>
      <c r="U24" s="207">
        <v>3796</v>
      </c>
      <c r="V24" s="65">
        <f t="shared" si="8"/>
        <v>22</v>
      </c>
      <c r="W24" s="61">
        <f t="shared" si="9"/>
        <v>5.8293587705352413E-3</v>
      </c>
      <c r="X24" s="805"/>
    </row>
    <row r="25" spans="1:24" ht="18" customHeight="1" x14ac:dyDescent="0.25">
      <c r="A25" s="213" t="s">
        <v>549</v>
      </c>
      <c r="B25" s="214" t="s">
        <v>550</v>
      </c>
      <c r="C25" s="503" t="s">
        <v>551</v>
      </c>
      <c r="D25" s="206">
        <v>3741</v>
      </c>
      <c r="E25" s="207">
        <v>960</v>
      </c>
      <c r="F25" s="207">
        <v>942</v>
      </c>
      <c r="G25" s="348">
        <f t="shared" si="0"/>
        <v>-18</v>
      </c>
      <c r="H25" s="349">
        <f t="shared" si="1"/>
        <v>-1.8749999999999999E-2</v>
      </c>
      <c r="I25" s="190"/>
      <c r="J25" s="207">
        <v>1861</v>
      </c>
      <c r="K25" s="732">
        <v>1824</v>
      </c>
      <c r="L25" s="208">
        <f t="shared" si="10"/>
        <v>-37</v>
      </c>
      <c r="M25" s="61">
        <f t="shared" si="11"/>
        <v>-1.9881783987103708E-2</v>
      </c>
      <c r="N25" s="190"/>
      <c r="O25" s="207">
        <v>2782</v>
      </c>
      <c r="P25" s="207">
        <v>2804</v>
      </c>
      <c r="Q25" s="65">
        <f t="shared" si="2"/>
        <v>22</v>
      </c>
      <c r="R25" s="61">
        <f t="shared" si="3"/>
        <v>7.9079798705966927E-3</v>
      </c>
      <c r="S25" s="190"/>
      <c r="T25" s="206">
        <v>3741</v>
      </c>
      <c r="U25" s="207">
        <v>3783</v>
      </c>
      <c r="V25" s="65">
        <f t="shared" si="8"/>
        <v>42</v>
      </c>
      <c r="W25" s="61">
        <f t="shared" si="9"/>
        <v>1.1226944667201283E-2</v>
      </c>
      <c r="X25" s="805"/>
    </row>
    <row r="26" spans="1:24" ht="54" customHeight="1" x14ac:dyDescent="0.25">
      <c r="A26" s="204" t="s">
        <v>552</v>
      </c>
      <c r="B26" s="195" t="s">
        <v>553</v>
      </c>
      <c r="C26" s="503" t="s">
        <v>513</v>
      </c>
      <c r="D26" s="215"/>
      <c r="E26" s="207"/>
      <c r="F26" s="207"/>
      <c r="G26" s="348">
        <f t="shared" si="0"/>
        <v>0</v>
      </c>
      <c r="H26" s="349" t="str">
        <f t="shared" si="1"/>
        <v>-</v>
      </c>
      <c r="I26" s="190"/>
      <c r="J26" s="207"/>
      <c r="K26" s="668"/>
      <c r="L26" s="208">
        <f>K26-J26</f>
        <v>0</v>
      </c>
      <c r="M26" s="61" t="e">
        <f t="shared" si="11"/>
        <v>#DIV/0!</v>
      </c>
      <c r="N26" s="190"/>
      <c r="O26" s="207"/>
      <c r="P26" s="207"/>
      <c r="Q26" s="65">
        <f t="shared" si="2"/>
        <v>0</v>
      </c>
      <c r="R26" s="61" t="str">
        <f t="shared" si="3"/>
        <v>-</v>
      </c>
      <c r="S26" s="190"/>
      <c r="T26" s="215"/>
      <c r="U26" s="207"/>
      <c r="V26" s="65">
        <f t="shared" si="8"/>
        <v>0</v>
      </c>
      <c r="W26" s="61" t="str">
        <f t="shared" si="9"/>
        <v>-</v>
      </c>
      <c r="X26" s="805"/>
    </row>
    <row r="27" spans="1:24" ht="78.75" x14ac:dyDescent="0.25">
      <c r="A27" s="204" t="s">
        <v>554</v>
      </c>
      <c r="B27" s="195" t="s">
        <v>555</v>
      </c>
      <c r="C27" s="509">
        <v>21</v>
      </c>
      <c r="D27" s="215">
        <v>28</v>
      </c>
      <c r="E27" s="207">
        <v>7</v>
      </c>
      <c r="F27" s="207">
        <v>7</v>
      </c>
      <c r="G27" s="348">
        <f t="shared" si="0"/>
        <v>0</v>
      </c>
      <c r="H27" s="349">
        <f t="shared" si="1"/>
        <v>0</v>
      </c>
      <c r="I27" s="358"/>
      <c r="J27" s="207">
        <v>14</v>
      </c>
      <c r="K27" s="668">
        <v>12</v>
      </c>
      <c r="L27" s="208">
        <f t="shared" si="10"/>
        <v>-2</v>
      </c>
      <c r="M27" s="61">
        <f t="shared" si="11"/>
        <v>-0.14285714285714285</v>
      </c>
      <c r="N27" s="456"/>
      <c r="O27" s="207">
        <v>21</v>
      </c>
      <c r="P27" s="207">
        <v>17</v>
      </c>
      <c r="Q27" s="65">
        <f t="shared" si="2"/>
        <v>-4</v>
      </c>
      <c r="R27" s="61">
        <f t="shared" si="3"/>
        <v>-0.19047619047619047</v>
      </c>
      <c r="S27" s="735" t="s">
        <v>556</v>
      </c>
      <c r="T27" s="215">
        <v>28</v>
      </c>
      <c r="U27" s="18">
        <v>23</v>
      </c>
      <c r="V27" s="65">
        <f t="shared" si="8"/>
        <v>-5</v>
      </c>
      <c r="W27" s="61">
        <f t="shared" si="9"/>
        <v>-0.17857142857142858</v>
      </c>
      <c r="X27" s="816" t="s">
        <v>556</v>
      </c>
    </row>
    <row r="28" spans="1:24" x14ac:dyDescent="0.25">
      <c r="A28" s="204" t="s">
        <v>557</v>
      </c>
      <c r="B28" s="195" t="s">
        <v>558</v>
      </c>
      <c r="C28" s="509" t="s">
        <v>559</v>
      </c>
      <c r="D28" s="215">
        <v>19700</v>
      </c>
      <c r="E28" s="207">
        <v>5057</v>
      </c>
      <c r="F28" s="207">
        <v>5281</v>
      </c>
      <c r="G28" s="348">
        <f t="shared" si="0"/>
        <v>224</v>
      </c>
      <c r="H28" s="349">
        <f t="shared" si="1"/>
        <v>4.429503658295432E-2</v>
      </c>
      <c r="I28" s="190"/>
      <c r="J28" s="207">
        <v>9573</v>
      </c>
      <c r="K28" s="732">
        <v>10759</v>
      </c>
      <c r="L28" s="208">
        <f t="shared" si="10"/>
        <v>1186</v>
      </c>
      <c r="M28" s="61">
        <f t="shared" si="11"/>
        <v>0.12389010759427557</v>
      </c>
      <c r="N28" s="456"/>
      <c r="O28" s="207">
        <v>14292</v>
      </c>
      <c r="P28" s="207">
        <v>16196</v>
      </c>
      <c r="Q28" s="65">
        <f t="shared" si="2"/>
        <v>1904</v>
      </c>
      <c r="R28" s="61">
        <f t="shared" si="3"/>
        <v>0.13322138259165967</v>
      </c>
      <c r="S28" s="358"/>
      <c r="T28" s="215">
        <v>19700</v>
      </c>
      <c r="U28" s="18">
        <v>21908</v>
      </c>
      <c r="V28" s="65">
        <f t="shared" si="8"/>
        <v>2208</v>
      </c>
      <c r="W28" s="61">
        <f t="shared" si="9"/>
        <v>0.11208121827411167</v>
      </c>
      <c r="X28" s="807"/>
    </row>
    <row r="29" spans="1:24" ht="18" customHeight="1" x14ac:dyDescent="0.25">
      <c r="A29" s="210" t="s">
        <v>560</v>
      </c>
      <c r="B29" s="15" t="s">
        <v>561</v>
      </c>
      <c r="C29" s="517">
        <v>5.97</v>
      </c>
      <c r="D29" s="178">
        <v>6</v>
      </c>
      <c r="E29" s="18">
        <v>6</v>
      </c>
      <c r="F29" s="18">
        <v>6.03</v>
      </c>
      <c r="G29" s="348">
        <f t="shared" si="0"/>
        <v>3.0000000000000249E-2</v>
      </c>
      <c r="H29" s="349">
        <f t="shared" si="1"/>
        <v>5.0000000000000417E-3</v>
      </c>
      <c r="I29" s="211"/>
      <c r="J29" s="18">
        <v>6</v>
      </c>
      <c r="K29" s="254">
        <v>6</v>
      </c>
      <c r="L29" s="208">
        <f t="shared" si="10"/>
        <v>0</v>
      </c>
      <c r="M29" s="61">
        <f t="shared" si="11"/>
        <v>0</v>
      </c>
      <c r="N29" s="211"/>
      <c r="O29" s="18">
        <v>6</v>
      </c>
      <c r="P29" s="18">
        <v>5.93</v>
      </c>
      <c r="Q29" s="65">
        <f t="shared" si="2"/>
        <v>-7.0000000000000284E-2</v>
      </c>
      <c r="R29" s="61">
        <f t="shared" si="3"/>
        <v>-1.1666666666666714E-2</v>
      </c>
      <c r="S29" s="211"/>
      <c r="T29" s="178">
        <v>6</v>
      </c>
      <c r="U29" s="18">
        <v>5.96</v>
      </c>
      <c r="V29" s="82">
        <f t="shared" si="8"/>
        <v>-4.0000000000000036E-2</v>
      </c>
      <c r="W29" s="72">
        <f t="shared" si="9"/>
        <v>-6.6666666666666723E-3</v>
      </c>
      <c r="X29" s="806"/>
    </row>
    <row r="30" spans="1:24" ht="18" customHeight="1" x14ac:dyDescent="0.25">
      <c r="A30" s="210" t="s">
        <v>562</v>
      </c>
      <c r="B30" s="15" t="s">
        <v>563</v>
      </c>
      <c r="C30" s="517">
        <v>55.39</v>
      </c>
      <c r="D30" s="178">
        <v>60</v>
      </c>
      <c r="E30" s="18">
        <v>60</v>
      </c>
      <c r="F30" s="18">
        <v>56.14</v>
      </c>
      <c r="G30" s="348">
        <f t="shared" si="0"/>
        <v>-3.8599999999999994</v>
      </c>
      <c r="H30" s="349">
        <f t="shared" si="1"/>
        <v>-6.4333333333333326E-2</v>
      </c>
      <c r="I30" s="211"/>
      <c r="J30" s="18">
        <v>60</v>
      </c>
      <c r="K30" s="254">
        <v>55</v>
      </c>
      <c r="L30" s="208">
        <f t="shared" si="10"/>
        <v>-5</v>
      </c>
      <c r="M30" s="61">
        <f t="shared" si="11"/>
        <v>-8.3333333333333329E-2</v>
      </c>
      <c r="N30" s="211"/>
      <c r="O30" s="18">
        <v>60</v>
      </c>
      <c r="P30" s="18">
        <v>55.46</v>
      </c>
      <c r="Q30" s="65">
        <f t="shared" si="2"/>
        <v>-4.5399999999999991</v>
      </c>
      <c r="R30" s="61">
        <f t="shared" si="3"/>
        <v>-7.5666666666666646E-2</v>
      </c>
      <c r="S30" s="211"/>
      <c r="T30" s="178">
        <v>60</v>
      </c>
      <c r="U30" s="18">
        <v>55.5</v>
      </c>
      <c r="V30" s="82">
        <f t="shared" si="8"/>
        <v>-4.5</v>
      </c>
      <c r="W30" s="72">
        <f t="shared" si="9"/>
        <v>-7.4999999999999997E-2</v>
      </c>
      <c r="X30" s="806"/>
    </row>
    <row r="31" spans="1:24" ht="18" customHeight="1" x14ac:dyDescent="0.25">
      <c r="A31" s="280" t="s">
        <v>564</v>
      </c>
      <c r="B31" s="281" t="s">
        <v>565</v>
      </c>
      <c r="C31" s="488" t="s">
        <v>497</v>
      </c>
      <c r="D31" s="275" t="s">
        <v>497</v>
      </c>
      <c r="E31" s="275" t="s">
        <v>497</v>
      </c>
      <c r="F31" s="276" t="s">
        <v>497</v>
      </c>
      <c r="G31" s="350" t="s">
        <v>497</v>
      </c>
      <c r="H31" s="351" t="s">
        <v>497</v>
      </c>
      <c r="I31" s="277" t="s">
        <v>497</v>
      </c>
      <c r="J31" s="275" t="s">
        <v>497</v>
      </c>
      <c r="K31" s="276" t="s">
        <v>497</v>
      </c>
      <c r="L31" s="276" t="s">
        <v>497</v>
      </c>
      <c r="M31" s="277" t="s">
        <v>497</v>
      </c>
      <c r="N31" s="277" t="s">
        <v>497</v>
      </c>
      <c r="O31" s="275" t="s">
        <v>497</v>
      </c>
      <c r="P31" s="276" t="s">
        <v>497</v>
      </c>
      <c r="Q31" s="275" t="s">
        <v>497</v>
      </c>
      <c r="R31" s="276" t="s">
        <v>497</v>
      </c>
      <c r="S31" s="277" t="s">
        <v>497</v>
      </c>
      <c r="T31" s="275"/>
      <c r="U31" s="276" t="s">
        <v>497</v>
      </c>
      <c r="V31" s="276" t="s">
        <v>497</v>
      </c>
      <c r="W31" s="277" t="s">
        <v>497</v>
      </c>
      <c r="X31" s="801" t="s">
        <v>497</v>
      </c>
    </row>
    <row r="32" spans="1:24" ht="18" customHeight="1" x14ac:dyDescent="0.25">
      <c r="A32" s="210" t="s">
        <v>566</v>
      </c>
      <c r="B32" s="15" t="s">
        <v>567</v>
      </c>
      <c r="C32" s="503">
        <v>115291</v>
      </c>
      <c r="D32" s="51">
        <v>116449</v>
      </c>
      <c r="E32" s="75">
        <v>29340</v>
      </c>
      <c r="F32" s="75">
        <v>28160</v>
      </c>
      <c r="G32" s="348">
        <f t="shared" si="0"/>
        <v>-1180</v>
      </c>
      <c r="H32" s="349">
        <f t="shared" si="1"/>
        <v>-4.0218132242672122E-2</v>
      </c>
      <c r="I32" s="190"/>
      <c r="J32" s="75">
        <v>59173</v>
      </c>
      <c r="K32" s="732">
        <v>55766</v>
      </c>
      <c r="L32" s="60">
        <f>K32-J32</f>
        <v>-3407</v>
      </c>
      <c r="M32" s="61">
        <f>L32/J32</f>
        <v>-5.7576935426630386E-2</v>
      </c>
      <c r="N32" s="734"/>
      <c r="O32" s="75">
        <v>88570</v>
      </c>
      <c r="P32" s="75">
        <v>85467</v>
      </c>
      <c r="Q32" s="65">
        <f t="shared" si="2"/>
        <v>-3103</v>
      </c>
      <c r="R32" s="61">
        <f t="shared" si="3"/>
        <v>-3.5034436039290955E-2</v>
      </c>
      <c r="S32" s="190"/>
      <c r="T32" s="51">
        <v>116449</v>
      </c>
      <c r="U32" s="75">
        <v>111306</v>
      </c>
      <c r="V32" s="60">
        <f t="shared" ref="V32:V40" si="13">U32-T32</f>
        <v>-5143</v>
      </c>
      <c r="W32" s="61">
        <f t="shared" ref="W32:W40" si="14">IFERROR(V32/ABS(T32), "-")</f>
        <v>-4.4165256893575727E-2</v>
      </c>
      <c r="X32" s="805"/>
    </row>
    <row r="33" spans="1:37" ht="18" customHeight="1" x14ac:dyDescent="0.25">
      <c r="A33" s="204" t="s">
        <v>568</v>
      </c>
      <c r="B33" s="35" t="s">
        <v>569</v>
      </c>
      <c r="C33" s="503" t="s">
        <v>570</v>
      </c>
      <c r="D33" s="209">
        <v>92500</v>
      </c>
      <c r="E33" s="207">
        <v>23353</v>
      </c>
      <c r="F33" s="207">
        <v>22425</v>
      </c>
      <c r="G33" s="348">
        <f t="shared" si="0"/>
        <v>-928</v>
      </c>
      <c r="H33" s="349">
        <f t="shared" si="1"/>
        <v>-3.9737935168929046E-2</v>
      </c>
      <c r="I33" s="190"/>
      <c r="J33" s="207">
        <v>47199</v>
      </c>
      <c r="K33" s="732">
        <v>44107</v>
      </c>
      <c r="L33" s="60">
        <f t="shared" ref="L33:L40" si="15">K33-J33</f>
        <v>-3092</v>
      </c>
      <c r="M33" s="61">
        <f t="shared" ref="M33:M40" si="16">L33/J33</f>
        <v>-6.5509862497086804E-2</v>
      </c>
      <c r="N33" s="734"/>
      <c r="O33" s="207">
        <v>70455</v>
      </c>
      <c r="P33" s="207">
        <v>67831</v>
      </c>
      <c r="Q33" s="65">
        <f t="shared" si="2"/>
        <v>-2624</v>
      </c>
      <c r="R33" s="61">
        <f t="shared" si="3"/>
        <v>-3.7243630686253637E-2</v>
      </c>
      <c r="S33" s="190"/>
      <c r="T33" s="209">
        <v>92500</v>
      </c>
      <c r="U33" s="207">
        <v>87932</v>
      </c>
      <c r="V33" s="65">
        <f t="shared" si="13"/>
        <v>-4568</v>
      </c>
      <c r="W33" s="61">
        <f t="shared" si="14"/>
        <v>-4.9383783783783781E-2</v>
      </c>
      <c r="X33" s="805"/>
    </row>
    <row r="34" spans="1:37" ht="122.25" customHeight="1" x14ac:dyDescent="0.25">
      <c r="A34" s="204" t="s">
        <v>571</v>
      </c>
      <c r="B34" s="217" t="s">
        <v>572</v>
      </c>
      <c r="C34" s="503">
        <v>642</v>
      </c>
      <c r="D34" s="209">
        <v>645</v>
      </c>
      <c r="E34" s="207">
        <v>179</v>
      </c>
      <c r="F34" s="207">
        <v>156</v>
      </c>
      <c r="G34" s="348">
        <f t="shared" si="0"/>
        <v>-23</v>
      </c>
      <c r="H34" s="349">
        <f t="shared" si="1"/>
        <v>-0.12849162011173185</v>
      </c>
      <c r="I34" s="190"/>
      <c r="J34" s="207">
        <v>351</v>
      </c>
      <c r="K34" s="668">
        <v>295</v>
      </c>
      <c r="L34" s="60">
        <f t="shared" si="15"/>
        <v>-56</v>
      </c>
      <c r="M34" s="61">
        <f t="shared" si="16"/>
        <v>-0.15954415954415954</v>
      </c>
      <c r="N34" s="735" t="s">
        <v>573</v>
      </c>
      <c r="O34" s="207">
        <v>501</v>
      </c>
      <c r="P34" s="207">
        <v>405</v>
      </c>
      <c r="Q34" s="65">
        <f t="shared" si="2"/>
        <v>-96</v>
      </c>
      <c r="R34" s="61">
        <f t="shared" si="3"/>
        <v>-0.19161676646706588</v>
      </c>
      <c r="S34" s="735" t="s">
        <v>574</v>
      </c>
      <c r="T34" s="209">
        <v>645</v>
      </c>
      <c r="U34" s="207">
        <v>572</v>
      </c>
      <c r="V34" s="65">
        <f t="shared" si="13"/>
        <v>-73</v>
      </c>
      <c r="W34" s="61">
        <f t="shared" si="14"/>
        <v>-0.11317829457364341</v>
      </c>
      <c r="X34" s="805"/>
    </row>
    <row r="35" spans="1:37" ht="18" customHeight="1" x14ac:dyDescent="0.25">
      <c r="A35" s="204" t="s">
        <v>575</v>
      </c>
      <c r="B35" s="35" t="s">
        <v>576</v>
      </c>
      <c r="C35" s="503" t="s">
        <v>577</v>
      </c>
      <c r="D35" s="209">
        <v>23949</v>
      </c>
      <c r="E35" s="207">
        <v>5987</v>
      </c>
      <c r="F35" s="207">
        <v>5735</v>
      </c>
      <c r="G35" s="348">
        <f t="shared" si="0"/>
        <v>-252</v>
      </c>
      <c r="H35" s="349">
        <f t="shared" si="1"/>
        <v>-4.2091197594788708E-2</v>
      </c>
      <c r="I35" s="190"/>
      <c r="J35" s="207">
        <v>11974</v>
      </c>
      <c r="K35" s="732">
        <v>11659</v>
      </c>
      <c r="L35" s="60">
        <f t="shared" si="15"/>
        <v>-315</v>
      </c>
      <c r="M35" s="61">
        <f t="shared" si="16"/>
        <v>-2.6306998496742943E-2</v>
      </c>
      <c r="N35" s="734"/>
      <c r="O35" s="207">
        <v>18115</v>
      </c>
      <c r="P35" s="207">
        <v>17636</v>
      </c>
      <c r="Q35" s="65">
        <f t="shared" si="2"/>
        <v>-479</v>
      </c>
      <c r="R35" s="61">
        <f t="shared" si="3"/>
        <v>-2.644217499309964E-2</v>
      </c>
      <c r="S35" s="190"/>
      <c r="T35" s="209">
        <v>23949</v>
      </c>
      <c r="U35" s="207">
        <v>23374</v>
      </c>
      <c r="V35" s="65">
        <f t="shared" si="13"/>
        <v>-575</v>
      </c>
      <c r="W35" s="61">
        <f t="shared" si="14"/>
        <v>-2.400935320890225E-2</v>
      </c>
      <c r="X35" s="805"/>
    </row>
    <row r="36" spans="1:37" ht="18" customHeight="1" x14ac:dyDescent="0.25">
      <c r="A36" s="204" t="s">
        <v>578</v>
      </c>
      <c r="B36" s="217" t="s">
        <v>572</v>
      </c>
      <c r="C36" s="503" t="s">
        <v>513</v>
      </c>
      <c r="D36" s="209"/>
      <c r="E36" s="207"/>
      <c r="F36" s="207"/>
      <c r="G36" s="348">
        <f t="shared" si="0"/>
        <v>0</v>
      </c>
      <c r="H36" s="349" t="str">
        <f t="shared" si="1"/>
        <v>-</v>
      </c>
      <c r="I36" s="190"/>
      <c r="J36" s="207"/>
      <c r="K36" s="668"/>
      <c r="L36" s="60">
        <f t="shared" si="15"/>
        <v>0</v>
      </c>
      <c r="M36" s="61" t="e">
        <f t="shared" si="16"/>
        <v>#DIV/0!</v>
      </c>
      <c r="N36" s="734"/>
      <c r="O36" s="207"/>
      <c r="P36" s="207"/>
      <c r="Q36" s="65">
        <f t="shared" si="2"/>
        <v>0</v>
      </c>
      <c r="R36" s="61" t="str">
        <f t="shared" si="3"/>
        <v>-</v>
      </c>
      <c r="S36" s="190"/>
      <c r="T36" s="209"/>
      <c r="U36" s="207"/>
      <c r="V36" s="65">
        <f t="shared" si="13"/>
        <v>0</v>
      </c>
      <c r="W36" s="61" t="str">
        <f t="shared" si="14"/>
        <v>-</v>
      </c>
      <c r="X36" s="805"/>
    </row>
    <row r="37" spans="1:37" ht="18" customHeight="1" x14ac:dyDescent="0.25">
      <c r="A37" s="204" t="s">
        <v>579</v>
      </c>
      <c r="B37" s="16" t="s">
        <v>580</v>
      </c>
      <c r="C37" s="503" t="s">
        <v>513</v>
      </c>
      <c r="D37" s="209" t="s">
        <v>581</v>
      </c>
      <c r="E37" s="207"/>
      <c r="F37" s="207"/>
      <c r="G37" s="348">
        <f t="shared" si="0"/>
        <v>0</v>
      </c>
      <c r="H37" s="349" t="str">
        <f t="shared" si="1"/>
        <v>-</v>
      </c>
      <c r="I37" s="190"/>
      <c r="J37" s="207"/>
      <c r="K37" s="668"/>
      <c r="L37" s="60">
        <f t="shared" si="15"/>
        <v>0</v>
      </c>
      <c r="M37" s="61" t="e">
        <f t="shared" si="16"/>
        <v>#DIV/0!</v>
      </c>
      <c r="N37" s="734"/>
      <c r="O37" s="207"/>
      <c r="P37" s="207"/>
      <c r="Q37" s="65">
        <f t="shared" si="2"/>
        <v>0</v>
      </c>
      <c r="R37" s="61" t="str">
        <f t="shared" si="3"/>
        <v>-</v>
      </c>
      <c r="S37" s="190"/>
      <c r="T37" s="209"/>
      <c r="U37" s="207"/>
      <c r="V37" s="65">
        <f t="shared" si="13"/>
        <v>0</v>
      </c>
      <c r="W37" s="61" t="str">
        <f t="shared" si="14"/>
        <v>-</v>
      </c>
      <c r="X37" s="805"/>
      <c r="AK37" s="10" t="s">
        <v>75</v>
      </c>
    </row>
    <row r="38" spans="1:37" ht="18" customHeight="1" x14ac:dyDescent="0.25">
      <c r="A38" s="204" t="s">
        <v>582</v>
      </c>
      <c r="B38" s="16" t="s">
        <v>583</v>
      </c>
      <c r="C38" s="503" t="s">
        <v>513</v>
      </c>
      <c r="D38" s="209"/>
      <c r="E38" s="207"/>
      <c r="F38" s="207"/>
      <c r="G38" s="348">
        <f t="shared" si="0"/>
        <v>0</v>
      </c>
      <c r="H38" s="349" t="str">
        <f t="shared" si="1"/>
        <v>-</v>
      </c>
      <c r="I38" s="190"/>
      <c r="J38" s="207"/>
      <c r="K38" s="668"/>
      <c r="L38" s="60">
        <f t="shared" si="15"/>
        <v>0</v>
      </c>
      <c r="M38" s="61" t="e">
        <f t="shared" si="16"/>
        <v>#DIV/0!</v>
      </c>
      <c r="N38" s="734"/>
      <c r="O38" s="207"/>
      <c r="P38" s="207"/>
      <c r="Q38" s="65">
        <f t="shared" si="2"/>
        <v>0</v>
      </c>
      <c r="R38" s="61" t="str">
        <f t="shared" si="3"/>
        <v>-</v>
      </c>
      <c r="S38" s="190"/>
      <c r="T38" s="209"/>
      <c r="U38" s="207"/>
      <c r="V38" s="65">
        <f t="shared" si="13"/>
        <v>0</v>
      </c>
      <c r="W38" s="61" t="str">
        <f t="shared" si="14"/>
        <v>-</v>
      </c>
      <c r="X38" s="805"/>
    </row>
    <row r="39" spans="1:37" x14ac:dyDescent="0.25">
      <c r="A39" s="204" t="s">
        <v>584</v>
      </c>
      <c r="B39" s="15" t="s">
        <v>585</v>
      </c>
      <c r="C39" s="509" t="s">
        <v>586</v>
      </c>
      <c r="D39" s="178">
        <v>4021</v>
      </c>
      <c r="E39" s="207">
        <v>831</v>
      </c>
      <c r="F39" s="207">
        <v>878</v>
      </c>
      <c r="G39" s="348">
        <f t="shared" si="0"/>
        <v>47</v>
      </c>
      <c r="H39" s="349">
        <f t="shared" si="1"/>
        <v>5.6558363417569195E-2</v>
      </c>
      <c r="I39" s="358"/>
      <c r="J39" s="207">
        <v>2011</v>
      </c>
      <c r="K39" s="732">
        <v>2160</v>
      </c>
      <c r="L39" s="60">
        <f t="shared" si="15"/>
        <v>149</v>
      </c>
      <c r="M39" s="61">
        <f t="shared" si="16"/>
        <v>7.4092491297861759E-2</v>
      </c>
      <c r="N39" s="456"/>
      <c r="O39" s="207">
        <v>3016</v>
      </c>
      <c r="P39" s="207">
        <v>3204</v>
      </c>
      <c r="Q39" s="65">
        <f t="shared" si="2"/>
        <v>188</v>
      </c>
      <c r="R39" s="61">
        <f t="shared" si="3"/>
        <v>6.2334217506631297E-2</v>
      </c>
      <c r="S39" s="358"/>
      <c r="T39" s="178">
        <v>4021</v>
      </c>
      <c r="U39" s="18">
        <v>4086</v>
      </c>
      <c r="V39" s="65">
        <f t="shared" si="13"/>
        <v>65</v>
      </c>
      <c r="W39" s="61">
        <f t="shared" si="14"/>
        <v>1.6165133051479732E-2</v>
      </c>
      <c r="X39" s="807"/>
    </row>
    <row r="40" spans="1:37" ht="114" customHeight="1" x14ac:dyDescent="0.25">
      <c r="A40" s="218" t="s">
        <v>587</v>
      </c>
      <c r="B40" s="219" t="s">
        <v>588</v>
      </c>
      <c r="C40" s="509">
        <v>594</v>
      </c>
      <c r="D40" s="220">
        <v>624</v>
      </c>
      <c r="E40" s="207">
        <v>169</v>
      </c>
      <c r="F40" s="207">
        <v>166</v>
      </c>
      <c r="G40" s="348">
        <f t="shared" si="0"/>
        <v>-3</v>
      </c>
      <c r="H40" s="349">
        <f t="shared" si="1"/>
        <v>-1.7751479289940829E-2</v>
      </c>
      <c r="I40" s="358"/>
      <c r="J40" s="221">
        <v>342</v>
      </c>
      <c r="K40" s="668">
        <v>281</v>
      </c>
      <c r="L40" s="60">
        <f t="shared" si="15"/>
        <v>-61</v>
      </c>
      <c r="M40" s="61">
        <f t="shared" si="16"/>
        <v>-0.17836257309941519</v>
      </c>
      <c r="N40" s="735" t="s">
        <v>573</v>
      </c>
      <c r="O40" s="221">
        <v>490</v>
      </c>
      <c r="P40" s="207">
        <v>365</v>
      </c>
      <c r="Q40" s="65">
        <f t="shared" si="2"/>
        <v>-125</v>
      </c>
      <c r="R40" s="61">
        <f t="shared" si="3"/>
        <v>-0.25510204081632654</v>
      </c>
      <c r="S40" s="735" t="s">
        <v>574</v>
      </c>
      <c r="T40" s="220">
        <v>624</v>
      </c>
      <c r="U40" s="18">
        <v>546</v>
      </c>
      <c r="V40" s="65">
        <f t="shared" si="13"/>
        <v>-78</v>
      </c>
      <c r="W40" s="222">
        <f t="shared" si="14"/>
        <v>-0.125</v>
      </c>
      <c r="X40" s="805"/>
    </row>
    <row r="41" spans="1:37" ht="18" customHeight="1" x14ac:dyDescent="0.25">
      <c r="A41" s="273" t="s">
        <v>589</v>
      </c>
      <c r="B41" s="282" t="s">
        <v>590</v>
      </c>
      <c r="C41" s="488" t="s">
        <v>497</v>
      </c>
      <c r="D41" s="275" t="s">
        <v>497</v>
      </c>
      <c r="E41" s="275" t="s">
        <v>497</v>
      </c>
      <c r="F41" s="276" t="s">
        <v>497</v>
      </c>
      <c r="G41" s="276" t="s">
        <v>497</v>
      </c>
      <c r="H41" s="277" t="s">
        <v>497</v>
      </c>
      <c r="I41" s="277" t="s">
        <v>497</v>
      </c>
      <c r="J41" s="275" t="s">
        <v>497</v>
      </c>
      <c r="K41" s="276" t="s">
        <v>497</v>
      </c>
      <c r="L41" s="276" t="s">
        <v>497</v>
      </c>
      <c r="M41" s="277" t="s">
        <v>497</v>
      </c>
      <c r="N41" s="277" t="s">
        <v>497</v>
      </c>
      <c r="O41" s="275" t="s">
        <v>497</v>
      </c>
      <c r="P41" s="276" t="s">
        <v>497</v>
      </c>
      <c r="Q41" s="275" t="s">
        <v>497</v>
      </c>
      <c r="R41" s="276" t="s">
        <v>497</v>
      </c>
      <c r="S41" s="277" t="s">
        <v>497</v>
      </c>
      <c r="T41" s="275" t="s">
        <v>497</v>
      </c>
      <c r="U41" s="276" t="s">
        <v>497</v>
      </c>
      <c r="V41" s="276" t="s">
        <v>497</v>
      </c>
      <c r="W41" s="277" t="s">
        <v>497</v>
      </c>
      <c r="X41" s="801" t="s">
        <v>497</v>
      </c>
    </row>
    <row r="42" spans="1:37" ht="18" customHeight="1" x14ac:dyDescent="0.25">
      <c r="A42" s="187" t="s">
        <v>591</v>
      </c>
      <c r="B42" s="223" t="s">
        <v>592</v>
      </c>
      <c r="C42" s="490" t="s">
        <v>513</v>
      </c>
      <c r="D42" s="117"/>
      <c r="E42" s="64"/>
      <c r="F42" s="64"/>
      <c r="G42" s="65">
        <f t="shared" ref="G42:G46" si="17">F42-E42</f>
        <v>0</v>
      </c>
      <c r="H42" s="61" t="str">
        <f t="shared" ref="H42:H46" si="18">IFERROR(G42/ABS(E42), "-")</f>
        <v>-</v>
      </c>
      <c r="I42" s="190"/>
      <c r="J42" s="64"/>
      <c r="K42" s="64"/>
      <c r="L42" s="65">
        <f t="shared" ref="L42:L46" si="19">K42-J42</f>
        <v>0</v>
      </c>
      <c r="M42" s="61" t="str">
        <f t="shared" ref="M42:M46" si="20">IFERROR(L42/ABS(J42), "-")</f>
        <v>-</v>
      </c>
      <c r="N42" s="190"/>
      <c r="O42" s="64"/>
      <c r="P42" s="64"/>
      <c r="Q42" s="65">
        <f>P42-O42</f>
        <v>0</v>
      </c>
      <c r="R42" s="61" t="str">
        <f>IFERROR(Q42/ABS(O42), "-")</f>
        <v>-</v>
      </c>
      <c r="S42" s="190"/>
      <c r="T42" s="64"/>
      <c r="U42" s="64"/>
      <c r="V42" s="65">
        <f t="shared" ref="V42:V46" si="21">U42-T42</f>
        <v>0</v>
      </c>
      <c r="W42" s="61" t="str">
        <f t="shared" ref="W42:W46" si="22">IFERROR(V42/ABS(T42), "-")</f>
        <v>-</v>
      </c>
      <c r="X42" s="805"/>
    </row>
    <row r="43" spans="1:37" ht="18" customHeight="1" x14ac:dyDescent="0.25">
      <c r="A43" s="187" t="s">
        <v>593</v>
      </c>
      <c r="B43" s="223" t="s">
        <v>594</v>
      </c>
      <c r="C43" s="490" t="s">
        <v>513</v>
      </c>
      <c r="D43" s="117"/>
      <c r="E43" s="64"/>
      <c r="F43" s="64"/>
      <c r="G43" s="65">
        <f t="shared" si="17"/>
        <v>0</v>
      </c>
      <c r="H43" s="61" t="str">
        <f t="shared" si="18"/>
        <v>-</v>
      </c>
      <c r="I43" s="190"/>
      <c r="J43" s="64"/>
      <c r="K43" s="64"/>
      <c r="L43" s="65">
        <f t="shared" si="19"/>
        <v>0</v>
      </c>
      <c r="M43" s="61" t="str">
        <f t="shared" si="20"/>
        <v>-</v>
      </c>
      <c r="N43" s="190"/>
      <c r="O43" s="64"/>
      <c r="P43" s="64"/>
      <c r="Q43" s="65">
        <f t="shared" ref="Q43:Q46" si="23">P43-O43</f>
        <v>0</v>
      </c>
      <c r="R43" s="61" t="str">
        <f t="shared" ref="R43:R46" si="24">IFERROR(Q43/ABS(O43), "-")</f>
        <v>-</v>
      </c>
      <c r="S43" s="190"/>
      <c r="T43" s="64"/>
      <c r="U43" s="64"/>
      <c r="V43" s="65">
        <f t="shared" si="21"/>
        <v>0</v>
      </c>
      <c r="W43" s="61" t="str">
        <f t="shared" si="22"/>
        <v>-</v>
      </c>
      <c r="X43" s="805"/>
    </row>
    <row r="44" spans="1:37" ht="18" customHeight="1" x14ac:dyDescent="0.25">
      <c r="A44" s="187" t="s">
        <v>595</v>
      </c>
      <c r="B44" s="223" t="s">
        <v>596</v>
      </c>
      <c r="C44" s="490" t="s">
        <v>513</v>
      </c>
      <c r="D44" s="117"/>
      <c r="E44" s="64"/>
      <c r="F44" s="64"/>
      <c r="G44" s="65">
        <f t="shared" si="17"/>
        <v>0</v>
      </c>
      <c r="H44" s="61" t="str">
        <f t="shared" si="18"/>
        <v>-</v>
      </c>
      <c r="I44" s="190"/>
      <c r="J44" s="64"/>
      <c r="K44" s="64"/>
      <c r="L44" s="65">
        <f t="shared" si="19"/>
        <v>0</v>
      </c>
      <c r="M44" s="61" t="str">
        <f t="shared" si="20"/>
        <v>-</v>
      </c>
      <c r="N44" s="190"/>
      <c r="O44" s="64"/>
      <c r="P44" s="64"/>
      <c r="Q44" s="65">
        <f t="shared" si="23"/>
        <v>0</v>
      </c>
      <c r="R44" s="61" t="str">
        <f t="shared" si="24"/>
        <v>-</v>
      </c>
      <c r="S44" s="190"/>
      <c r="T44" s="64"/>
      <c r="U44" s="64"/>
      <c r="V44" s="65">
        <f t="shared" si="21"/>
        <v>0</v>
      </c>
      <c r="W44" s="61" t="str">
        <f t="shared" si="22"/>
        <v>-</v>
      </c>
      <c r="X44" s="805"/>
    </row>
    <row r="45" spans="1:37" ht="18" customHeight="1" x14ac:dyDescent="0.25">
      <c r="A45" s="187" t="s">
        <v>597</v>
      </c>
      <c r="B45" s="223" t="s">
        <v>598</v>
      </c>
      <c r="C45" s="490" t="s">
        <v>513</v>
      </c>
      <c r="D45" s="117"/>
      <c r="E45" s="64"/>
      <c r="F45" s="64"/>
      <c r="G45" s="65">
        <f t="shared" si="17"/>
        <v>0</v>
      </c>
      <c r="H45" s="61" t="str">
        <f t="shared" si="18"/>
        <v>-</v>
      </c>
      <c r="I45" s="190"/>
      <c r="J45" s="64"/>
      <c r="K45" s="64"/>
      <c r="L45" s="65">
        <f t="shared" si="19"/>
        <v>0</v>
      </c>
      <c r="M45" s="61" t="str">
        <f t="shared" si="20"/>
        <v>-</v>
      </c>
      <c r="N45" s="190"/>
      <c r="O45" s="64"/>
      <c r="P45" s="64"/>
      <c r="Q45" s="65">
        <f t="shared" si="23"/>
        <v>0</v>
      </c>
      <c r="R45" s="61" t="str">
        <f t="shared" si="24"/>
        <v>-</v>
      </c>
      <c r="S45" s="190"/>
      <c r="T45" s="64"/>
      <c r="U45" s="64"/>
      <c r="V45" s="65">
        <f t="shared" si="21"/>
        <v>0</v>
      </c>
      <c r="W45" s="61" t="str">
        <f t="shared" si="22"/>
        <v>-</v>
      </c>
      <c r="X45" s="805"/>
    </row>
    <row r="46" spans="1:37" ht="18" customHeight="1" x14ac:dyDescent="0.25">
      <c r="A46" s="187" t="s">
        <v>599</v>
      </c>
      <c r="B46" s="223" t="s">
        <v>600</v>
      </c>
      <c r="C46" s="490" t="s">
        <v>513</v>
      </c>
      <c r="D46" s="117"/>
      <c r="E46" s="64"/>
      <c r="F46" s="64"/>
      <c r="G46" s="65">
        <f t="shared" si="17"/>
        <v>0</v>
      </c>
      <c r="H46" s="61" t="str">
        <f t="shared" si="18"/>
        <v>-</v>
      </c>
      <c r="I46" s="190"/>
      <c r="J46" s="64"/>
      <c r="K46" s="64"/>
      <c r="L46" s="65">
        <f t="shared" si="19"/>
        <v>0</v>
      </c>
      <c r="M46" s="61" t="str">
        <f t="shared" si="20"/>
        <v>-</v>
      </c>
      <c r="N46" s="190"/>
      <c r="O46" s="64"/>
      <c r="P46" s="64"/>
      <c r="Q46" s="65">
        <f t="shared" si="23"/>
        <v>0</v>
      </c>
      <c r="R46" s="61" t="str">
        <f t="shared" si="24"/>
        <v>-</v>
      </c>
      <c r="S46" s="190"/>
      <c r="T46" s="64"/>
      <c r="U46" s="64"/>
      <c r="V46" s="65">
        <f t="shared" si="21"/>
        <v>0</v>
      </c>
      <c r="W46" s="61" t="str">
        <f t="shared" si="22"/>
        <v>-</v>
      </c>
      <c r="X46" s="805"/>
    </row>
    <row r="47" spans="1:37" ht="18" customHeight="1" x14ac:dyDescent="0.25">
      <c r="A47" s="273" t="s">
        <v>601</v>
      </c>
      <c r="B47" s="282" t="s">
        <v>602</v>
      </c>
      <c r="C47" s="488" t="s">
        <v>497</v>
      </c>
      <c r="D47" s="275" t="s">
        <v>497</v>
      </c>
      <c r="E47" s="275" t="s">
        <v>497</v>
      </c>
      <c r="F47" s="276" t="s">
        <v>497</v>
      </c>
      <c r="G47" s="276" t="s">
        <v>497</v>
      </c>
      <c r="H47" s="277" t="s">
        <v>497</v>
      </c>
      <c r="I47" s="277" t="s">
        <v>497</v>
      </c>
      <c r="J47" s="275" t="s">
        <v>497</v>
      </c>
      <c r="K47" s="276" t="s">
        <v>497</v>
      </c>
      <c r="L47" s="276" t="s">
        <v>497</v>
      </c>
      <c r="M47" s="277" t="s">
        <v>497</v>
      </c>
      <c r="N47" s="277" t="s">
        <v>497</v>
      </c>
      <c r="O47" s="275" t="s">
        <v>497</v>
      </c>
      <c r="P47" s="276" t="s">
        <v>497</v>
      </c>
      <c r="Q47" s="276" t="s">
        <v>497</v>
      </c>
      <c r="R47" s="277" t="s">
        <v>497</v>
      </c>
      <c r="S47" s="277" t="s">
        <v>497</v>
      </c>
      <c r="T47" s="275" t="s">
        <v>497</v>
      </c>
      <c r="U47" s="276" t="s">
        <v>497</v>
      </c>
      <c r="V47" s="276" t="s">
        <v>497</v>
      </c>
      <c r="W47" s="277" t="s">
        <v>497</v>
      </c>
      <c r="X47" s="801" t="s">
        <v>497</v>
      </c>
    </row>
    <row r="48" spans="1:37" ht="18" customHeight="1" x14ac:dyDescent="0.25">
      <c r="A48" s="187" t="s">
        <v>603</v>
      </c>
      <c r="B48" s="223" t="s">
        <v>592</v>
      </c>
      <c r="C48" s="490" t="s">
        <v>513</v>
      </c>
      <c r="D48" s="117"/>
      <c r="E48" s="64"/>
      <c r="F48" s="64"/>
      <c r="G48" s="65">
        <f t="shared" ref="G48:G52" si="25">F48-E48</f>
        <v>0</v>
      </c>
      <c r="H48" s="61" t="str">
        <f t="shared" ref="H48:H52" si="26">IFERROR(G48/ABS(E48), "-")</f>
        <v>-</v>
      </c>
      <c r="I48" s="190"/>
      <c r="J48" s="64"/>
      <c r="K48" s="64"/>
      <c r="L48" s="65">
        <f t="shared" ref="L48:L52" si="27">K48-J48</f>
        <v>0</v>
      </c>
      <c r="M48" s="61" t="str">
        <f t="shared" ref="M48:M52" si="28">IFERROR(L48/ABS(J48), "-")</f>
        <v>-</v>
      </c>
      <c r="N48" s="190"/>
      <c r="O48" s="64"/>
      <c r="P48" s="64"/>
      <c r="Q48" s="65">
        <f t="shared" ref="Q48:Q52" si="29">P48-O48</f>
        <v>0</v>
      </c>
      <c r="R48" s="61" t="str">
        <f t="shared" ref="R48:R52" si="30">IFERROR(Q48/ABS(O48), "-")</f>
        <v>-</v>
      </c>
      <c r="S48" s="190"/>
      <c r="T48" s="64"/>
      <c r="U48" s="64"/>
      <c r="V48" s="65">
        <f t="shared" ref="V48:V52" si="31">U48-T48</f>
        <v>0</v>
      </c>
      <c r="W48" s="61" t="str">
        <f t="shared" ref="W48:W52" si="32">IFERROR(V48/ABS(T48), "-")</f>
        <v>-</v>
      </c>
      <c r="X48" s="805"/>
    </row>
    <row r="49" spans="1:24" ht="18" customHeight="1" x14ac:dyDescent="0.25">
      <c r="A49" s="187" t="s">
        <v>604</v>
      </c>
      <c r="B49" s="223" t="s">
        <v>594</v>
      </c>
      <c r="C49" s="490" t="s">
        <v>513</v>
      </c>
      <c r="D49" s="117"/>
      <c r="E49" s="64"/>
      <c r="F49" s="64"/>
      <c r="G49" s="65">
        <f t="shared" si="25"/>
        <v>0</v>
      </c>
      <c r="H49" s="61" t="str">
        <f t="shared" si="26"/>
        <v>-</v>
      </c>
      <c r="I49" s="190"/>
      <c r="J49" s="64"/>
      <c r="K49" s="64"/>
      <c r="L49" s="65">
        <f t="shared" si="27"/>
        <v>0</v>
      </c>
      <c r="M49" s="61" t="str">
        <f t="shared" si="28"/>
        <v>-</v>
      </c>
      <c r="N49" s="190"/>
      <c r="O49" s="64"/>
      <c r="P49" s="64"/>
      <c r="Q49" s="65">
        <f t="shared" si="29"/>
        <v>0</v>
      </c>
      <c r="R49" s="61" t="str">
        <f t="shared" si="30"/>
        <v>-</v>
      </c>
      <c r="S49" s="190"/>
      <c r="T49" s="64"/>
      <c r="U49" s="64"/>
      <c r="V49" s="65">
        <f t="shared" si="31"/>
        <v>0</v>
      </c>
      <c r="W49" s="61" t="str">
        <f t="shared" si="32"/>
        <v>-</v>
      </c>
      <c r="X49" s="805"/>
    </row>
    <row r="50" spans="1:24" ht="18" customHeight="1" x14ac:dyDescent="0.25">
      <c r="A50" s="187" t="s">
        <v>605</v>
      </c>
      <c r="B50" s="223" t="s">
        <v>596</v>
      </c>
      <c r="C50" s="490" t="s">
        <v>513</v>
      </c>
      <c r="D50" s="117"/>
      <c r="E50" s="64"/>
      <c r="F50" s="64"/>
      <c r="G50" s="65">
        <f t="shared" si="25"/>
        <v>0</v>
      </c>
      <c r="H50" s="61" t="str">
        <f t="shared" si="26"/>
        <v>-</v>
      </c>
      <c r="I50" s="190"/>
      <c r="J50" s="64"/>
      <c r="K50" s="64"/>
      <c r="L50" s="65">
        <f t="shared" si="27"/>
        <v>0</v>
      </c>
      <c r="M50" s="61" t="str">
        <f t="shared" si="28"/>
        <v>-</v>
      </c>
      <c r="N50" s="190"/>
      <c r="O50" s="64"/>
      <c r="P50" s="64"/>
      <c r="Q50" s="65">
        <f t="shared" si="29"/>
        <v>0</v>
      </c>
      <c r="R50" s="61" t="str">
        <f t="shared" si="30"/>
        <v>-</v>
      </c>
      <c r="S50" s="190"/>
      <c r="T50" s="64"/>
      <c r="U50" s="64"/>
      <c r="V50" s="65">
        <f t="shared" si="31"/>
        <v>0</v>
      </c>
      <c r="W50" s="61" t="str">
        <f t="shared" si="32"/>
        <v>-</v>
      </c>
      <c r="X50" s="805"/>
    </row>
    <row r="51" spans="1:24" ht="18" customHeight="1" x14ac:dyDescent="0.25">
      <c r="A51" s="187" t="s">
        <v>606</v>
      </c>
      <c r="B51" s="223" t="s">
        <v>598</v>
      </c>
      <c r="C51" s="490" t="s">
        <v>513</v>
      </c>
      <c r="D51" s="117"/>
      <c r="E51" s="64"/>
      <c r="F51" s="64"/>
      <c r="G51" s="65">
        <f t="shared" si="25"/>
        <v>0</v>
      </c>
      <c r="H51" s="61" t="str">
        <f t="shared" si="26"/>
        <v>-</v>
      </c>
      <c r="I51" s="190"/>
      <c r="J51" s="64"/>
      <c r="K51" s="64"/>
      <c r="L51" s="65">
        <f t="shared" si="27"/>
        <v>0</v>
      </c>
      <c r="M51" s="61" t="str">
        <f t="shared" si="28"/>
        <v>-</v>
      </c>
      <c r="N51" s="190"/>
      <c r="O51" s="64"/>
      <c r="P51" s="64"/>
      <c r="Q51" s="65">
        <f t="shared" si="29"/>
        <v>0</v>
      </c>
      <c r="R51" s="61" t="str">
        <f t="shared" si="30"/>
        <v>-</v>
      </c>
      <c r="S51" s="190"/>
      <c r="T51" s="64"/>
      <c r="U51" s="64"/>
      <c r="V51" s="65">
        <f t="shared" si="31"/>
        <v>0</v>
      </c>
      <c r="W51" s="61" t="str">
        <f t="shared" si="32"/>
        <v>-</v>
      </c>
      <c r="X51" s="805"/>
    </row>
    <row r="52" spans="1:24" ht="18" customHeight="1" x14ac:dyDescent="0.25">
      <c r="A52" s="187" t="s">
        <v>607</v>
      </c>
      <c r="B52" s="223" t="s">
        <v>600</v>
      </c>
      <c r="C52" s="490" t="s">
        <v>513</v>
      </c>
      <c r="D52" s="117"/>
      <c r="E52" s="64"/>
      <c r="F52" s="64"/>
      <c r="G52" s="65">
        <f t="shared" si="25"/>
        <v>0</v>
      </c>
      <c r="H52" s="61" t="str">
        <f t="shared" si="26"/>
        <v>-</v>
      </c>
      <c r="I52" s="190"/>
      <c r="J52" s="64"/>
      <c r="K52" s="64"/>
      <c r="L52" s="65">
        <f t="shared" si="27"/>
        <v>0</v>
      </c>
      <c r="M52" s="61" t="str">
        <f t="shared" si="28"/>
        <v>-</v>
      </c>
      <c r="N52" s="190"/>
      <c r="O52" s="64"/>
      <c r="P52" s="64"/>
      <c r="Q52" s="65">
        <f t="shared" si="29"/>
        <v>0</v>
      </c>
      <c r="R52" s="61" t="str">
        <f t="shared" si="30"/>
        <v>-</v>
      </c>
      <c r="S52" s="190"/>
      <c r="T52" s="64"/>
      <c r="U52" s="64"/>
      <c r="V52" s="65">
        <f t="shared" si="31"/>
        <v>0</v>
      </c>
      <c r="W52" s="61" t="str">
        <f t="shared" si="32"/>
        <v>-</v>
      </c>
      <c r="X52" s="805"/>
    </row>
    <row r="53" spans="1:24" ht="18" customHeight="1" x14ac:dyDescent="0.25">
      <c r="A53" s="273" t="s">
        <v>608</v>
      </c>
      <c r="B53" s="283" t="s">
        <v>609</v>
      </c>
      <c r="C53" s="488" t="s">
        <v>497</v>
      </c>
      <c r="D53" s="275" t="s">
        <v>497</v>
      </c>
      <c r="E53" s="275" t="s">
        <v>497</v>
      </c>
      <c r="F53" s="276" t="s">
        <v>497</v>
      </c>
      <c r="G53" s="276" t="s">
        <v>497</v>
      </c>
      <c r="H53" s="277" t="s">
        <v>497</v>
      </c>
      <c r="I53" s="277" t="s">
        <v>497</v>
      </c>
      <c r="J53" s="275" t="s">
        <v>497</v>
      </c>
      <c r="K53" s="276" t="s">
        <v>497</v>
      </c>
      <c r="L53" s="276" t="s">
        <v>497</v>
      </c>
      <c r="M53" s="277" t="s">
        <v>497</v>
      </c>
      <c r="N53" s="277" t="s">
        <v>497</v>
      </c>
      <c r="O53" s="275" t="s">
        <v>497</v>
      </c>
      <c r="P53" s="276" t="s">
        <v>497</v>
      </c>
      <c r="Q53" s="276" t="s">
        <v>497</v>
      </c>
      <c r="R53" s="277" t="s">
        <v>497</v>
      </c>
      <c r="S53" s="277" t="s">
        <v>497</v>
      </c>
      <c r="T53" s="275" t="s">
        <v>497</v>
      </c>
      <c r="U53" s="276" t="s">
        <v>497</v>
      </c>
      <c r="V53" s="276" t="s">
        <v>497</v>
      </c>
      <c r="W53" s="277" t="s">
        <v>497</v>
      </c>
      <c r="X53" s="801" t="s">
        <v>497</v>
      </c>
    </row>
    <row r="54" spans="1:24" ht="18" customHeight="1" x14ac:dyDescent="0.25">
      <c r="A54" s="216" t="s">
        <v>610</v>
      </c>
      <c r="B54" s="103" t="s">
        <v>611</v>
      </c>
      <c r="C54" s="499">
        <v>634</v>
      </c>
      <c r="D54" s="93">
        <v>637</v>
      </c>
      <c r="E54" s="499">
        <v>634</v>
      </c>
      <c r="F54" s="93">
        <v>634</v>
      </c>
      <c r="G54" s="500">
        <f t="shared" ref="G54:G77" si="33">F54-E54</f>
        <v>0</v>
      </c>
      <c r="H54" s="501">
        <f>IFERROR(G54/ABS(E54), "-")</f>
        <v>0</v>
      </c>
      <c r="I54" s="502"/>
      <c r="J54" s="499">
        <v>636</v>
      </c>
      <c r="K54" s="667">
        <v>636</v>
      </c>
      <c r="L54" s="500">
        <f t="shared" ref="L54:L58" si="34">K54-J54</f>
        <v>0</v>
      </c>
      <c r="M54" s="501">
        <f t="shared" ref="M54:M77" si="35">IFERROR(L54/ABS(J54), "-")</f>
        <v>0</v>
      </c>
      <c r="N54" s="502"/>
      <c r="O54" s="93">
        <v>637</v>
      </c>
      <c r="P54" s="93">
        <v>651</v>
      </c>
      <c r="Q54" s="500">
        <f t="shared" ref="Q54:Q59" si="36">P54-O54</f>
        <v>14</v>
      </c>
      <c r="R54" s="501">
        <f t="shared" ref="R54:R77" si="37">IFERROR(Q54/ABS(O54), "-")</f>
        <v>2.197802197802198E-2</v>
      </c>
      <c r="S54" s="502"/>
      <c r="T54" s="93">
        <v>637</v>
      </c>
      <c r="U54" s="93">
        <v>655</v>
      </c>
      <c r="V54" s="96">
        <f t="shared" ref="V54:V72" si="38">U54-T54</f>
        <v>18</v>
      </c>
      <c r="W54" s="97">
        <f t="shared" ref="W54:W72" si="39">IFERROR(V54/ABS(T54), "-")</f>
        <v>2.8257456828885402E-2</v>
      </c>
      <c r="X54" s="802"/>
    </row>
    <row r="55" spans="1:24" ht="18" customHeight="1" x14ac:dyDescent="0.25">
      <c r="A55" s="204" t="s">
        <v>612</v>
      </c>
      <c r="B55" s="224" t="s">
        <v>613</v>
      </c>
      <c r="C55" s="503">
        <v>138</v>
      </c>
      <c r="D55" s="503">
        <v>139</v>
      </c>
      <c r="E55" s="503">
        <v>138</v>
      </c>
      <c r="F55" s="207">
        <v>138</v>
      </c>
      <c r="G55" s="504">
        <f t="shared" si="33"/>
        <v>0</v>
      </c>
      <c r="H55" s="505">
        <f t="shared" ref="H55:H77" si="40">IFERROR(G55/ABS(E55), "-")</f>
        <v>0</v>
      </c>
      <c r="I55" s="506"/>
      <c r="J55" s="503">
        <v>139</v>
      </c>
      <c r="K55" s="668">
        <v>139</v>
      </c>
      <c r="L55" s="504">
        <f t="shared" si="34"/>
        <v>0</v>
      </c>
      <c r="M55" s="505">
        <f t="shared" si="35"/>
        <v>0</v>
      </c>
      <c r="N55" s="506"/>
      <c r="O55" s="503">
        <v>139</v>
      </c>
      <c r="P55" s="207">
        <v>140</v>
      </c>
      <c r="Q55" s="504">
        <f t="shared" si="36"/>
        <v>1</v>
      </c>
      <c r="R55" s="505">
        <f>IFERROR(Q55/ABS(O55), "-")</f>
        <v>7.1942446043165471E-3</v>
      </c>
      <c r="S55" s="506"/>
      <c r="T55" s="503">
        <v>139</v>
      </c>
      <c r="U55" s="207">
        <v>139</v>
      </c>
      <c r="V55" s="208">
        <f t="shared" si="38"/>
        <v>0</v>
      </c>
      <c r="W55" s="61">
        <f t="shared" si="39"/>
        <v>0</v>
      </c>
      <c r="X55" s="805"/>
    </row>
    <row r="56" spans="1:24" x14ac:dyDescent="0.25">
      <c r="A56" s="204" t="s">
        <v>614</v>
      </c>
      <c r="B56" s="224" t="s">
        <v>615</v>
      </c>
      <c r="C56" s="503">
        <v>191</v>
      </c>
      <c r="D56" s="503">
        <v>191</v>
      </c>
      <c r="E56" s="503">
        <v>191</v>
      </c>
      <c r="F56" s="64">
        <v>191</v>
      </c>
      <c r="G56" s="507">
        <f t="shared" si="33"/>
        <v>0</v>
      </c>
      <c r="H56" s="505">
        <f t="shared" si="40"/>
        <v>0</v>
      </c>
      <c r="I56" s="506"/>
      <c r="J56" s="503">
        <v>191</v>
      </c>
      <c r="K56" s="668">
        <v>191</v>
      </c>
      <c r="L56" s="507">
        <f t="shared" si="34"/>
        <v>0</v>
      </c>
      <c r="M56" s="505">
        <f t="shared" si="35"/>
        <v>0</v>
      </c>
      <c r="N56" s="506"/>
      <c r="O56" s="503">
        <v>191</v>
      </c>
      <c r="P56" s="64">
        <v>199</v>
      </c>
      <c r="Q56" s="507">
        <f t="shared" si="36"/>
        <v>8</v>
      </c>
      <c r="R56" s="505">
        <f t="shared" si="37"/>
        <v>4.1884816753926704E-2</v>
      </c>
      <c r="S56" s="506"/>
      <c r="T56" s="503">
        <v>191</v>
      </c>
      <c r="U56" s="64">
        <v>199</v>
      </c>
      <c r="V56" s="65">
        <f t="shared" si="38"/>
        <v>8</v>
      </c>
      <c r="W56" s="61">
        <f t="shared" si="39"/>
        <v>4.1884816753926704E-2</v>
      </c>
      <c r="X56" s="805"/>
    </row>
    <row r="57" spans="1:24" ht="78.75" x14ac:dyDescent="0.25">
      <c r="A57" s="204" t="s">
        <v>616</v>
      </c>
      <c r="B57" s="50" t="s">
        <v>617</v>
      </c>
      <c r="C57" s="503">
        <v>45</v>
      </c>
      <c r="D57" s="503">
        <v>46</v>
      </c>
      <c r="E57" s="503">
        <v>45</v>
      </c>
      <c r="F57" s="64">
        <v>44</v>
      </c>
      <c r="G57" s="507">
        <f t="shared" si="33"/>
        <v>-1</v>
      </c>
      <c r="H57" s="505">
        <f t="shared" si="40"/>
        <v>-2.2222222222222223E-2</v>
      </c>
      <c r="I57" s="506"/>
      <c r="J57" s="503">
        <v>45</v>
      </c>
      <c r="K57" s="668">
        <v>44</v>
      </c>
      <c r="L57" s="507">
        <f t="shared" si="34"/>
        <v>-1</v>
      </c>
      <c r="M57" s="505">
        <f t="shared" si="35"/>
        <v>-2.2222222222222223E-2</v>
      </c>
      <c r="N57" s="506"/>
      <c r="O57" s="503">
        <v>46</v>
      </c>
      <c r="P57" s="64">
        <v>59</v>
      </c>
      <c r="Q57" s="507">
        <f t="shared" si="36"/>
        <v>13</v>
      </c>
      <c r="R57" s="505">
        <f t="shared" si="37"/>
        <v>0.28260869565217389</v>
      </c>
      <c r="S57" s="626" t="s">
        <v>618</v>
      </c>
      <c r="T57" s="503">
        <v>46</v>
      </c>
      <c r="U57" s="64">
        <v>59</v>
      </c>
      <c r="V57" s="65">
        <f t="shared" si="38"/>
        <v>13</v>
      </c>
      <c r="W57" s="61">
        <f t="shared" si="39"/>
        <v>0.28260869565217389</v>
      </c>
      <c r="X57" s="808" t="s">
        <v>619</v>
      </c>
    </row>
    <row r="58" spans="1:24" ht="87" customHeight="1" x14ac:dyDescent="0.25">
      <c r="A58" s="204" t="s">
        <v>620</v>
      </c>
      <c r="B58" s="50" t="s">
        <v>621</v>
      </c>
      <c r="C58" s="503">
        <v>40</v>
      </c>
      <c r="D58" s="503">
        <v>40</v>
      </c>
      <c r="E58" s="503">
        <v>40</v>
      </c>
      <c r="F58" s="64">
        <v>41</v>
      </c>
      <c r="G58" s="507">
        <f t="shared" si="33"/>
        <v>1</v>
      </c>
      <c r="H58" s="505">
        <f t="shared" si="40"/>
        <v>2.5000000000000001E-2</v>
      </c>
      <c r="I58" s="506"/>
      <c r="J58" s="503">
        <v>40</v>
      </c>
      <c r="K58" s="668">
        <v>40</v>
      </c>
      <c r="L58" s="507">
        <f t="shared" si="34"/>
        <v>0</v>
      </c>
      <c r="M58" s="505">
        <f t="shared" si="35"/>
        <v>0</v>
      </c>
      <c r="N58" s="506"/>
      <c r="O58" s="503">
        <v>40</v>
      </c>
      <c r="P58" s="64">
        <v>31</v>
      </c>
      <c r="Q58" s="507">
        <f t="shared" si="36"/>
        <v>-9</v>
      </c>
      <c r="R58" s="505">
        <f t="shared" si="37"/>
        <v>-0.22500000000000001</v>
      </c>
      <c r="S58" s="626" t="s">
        <v>622</v>
      </c>
      <c r="T58" s="503">
        <v>40</v>
      </c>
      <c r="U58" s="64">
        <v>33</v>
      </c>
      <c r="V58" s="65">
        <f t="shared" si="38"/>
        <v>-7</v>
      </c>
      <c r="W58" s="61">
        <f t="shared" si="39"/>
        <v>-0.17499999999999999</v>
      </c>
      <c r="X58" s="808" t="s">
        <v>623</v>
      </c>
    </row>
    <row r="59" spans="1:24" ht="18" customHeight="1" x14ac:dyDescent="0.25">
      <c r="A59" s="204" t="s">
        <v>624</v>
      </c>
      <c r="B59" s="50" t="s">
        <v>625</v>
      </c>
      <c r="C59" s="503">
        <v>220</v>
      </c>
      <c r="D59" s="503">
        <v>221</v>
      </c>
      <c r="E59" s="503">
        <v>220</v>
      </c>
      <c r="F59" s="64">
        <v>221</v>
      </c>
      <c r="G59" s="507">
        <f>F59-E59</f>
        <v>1</v>
      </c>
      <c r="H59" s="505">
        <f t="shared" si="40"/>
        <v>4.5454545454545452E-3</v>
      </c>
      <c r="I59" s="506"/>
      <c r="J59" s="503">
        <v>221</v>
      </c>
      <c r="K59" s="668">
        <v>222</v>
      </c>
      <c r="L59" s="507">
        <f>K59-J59</f>
        <v>1</v>
      </c>
      <c r="M59" s="505">
        <f t="shared" si="35"/>
        <v>4.5248868778280547E-3</v>
      </c>
      <c r="N59" s="506"/>
      <c r="O59" s="503">
        <v>221</v>
      </c>
      <c r="P59" s="64">
        <v>222</v>
      </c>
      <c r="Q59" s="507">
        <f t="shared" si="36"/>
        <v>1</v>
      </c>
      <c r="R59" s="505">
        <f t="shared" si="37"/>
        <v>4.5248868778280547E-3</v>
      </c>
      <c r="S59" s="506"/>
      <c r="T59" s="503">
        <v>221</v>
      </c>
      <c r="U59" s="64">
        <v>225</v>
      </c>
      <c r="V59" s="65">
        <f t="shared" si="38"/>
        <v>4</v>
      </c>
      <c r="W59" s="61">
        <f t="shared" si="39"/>
        <v>1.8099547511312219E-2</v>
      </c>
      <c r="X59" s="805"/>
    </row>
    <row r="60" spans="1:24" ht="18" customHeight="1" x14ac:dyDescent="0.25">
      <c r="A60" s="216" t="s">
        <v>626</v>
      </c>
      <c r="B60" s="225" t="s">
        <v>627</v>
      </c>
      <c r="C60" s="499" t="s">
        <v>628</v>
      </c>
      <c r="D60" s="508">
        <v>1983</v>
      </c>
      <c r="E60" s="508">
        <v>1983</v>
      </c>
      <c r="F60" s="93">
        <v>1971</v>
      </c>
      <c r="G60" s="500">
        <f>F60-E60</f>
        <v>-12</v>
      </c>
      <c r="H60" s="501">
        <f t="shared" si="40"/>
        <v>-6.0514372163388806E-3</v>
      </c>
      <c r="I60" s="502"/>
      <c r="J60" s="508">
        <v>1983</v>
      </c>
      <c r="K60" s="93">
        <f>7767229.04/K54/6</f>
        <v>2035.4373794549265</v>
      </c>
      <c r="L60" s="500">
        <f>K60-J60</f>
        <v>52.437379454926486</v>
      </c>
      <c r="M60" s="501">
        <f t="shared" si="35"/>
        <v>2.6443459130068826E-2</v>
      </c>
      <c r="N60" s="502"/>
      <c r="O60" s="508">
        <v>1983</v>
      </c>
      <c r="P60" s="93">
        <v>2074</v>
      </c>
      <c r="Q60" s="500">
        <f>P60-O60</f>
        <v>91</v>
      </c>
      <c r="R60" s="501">
        <f t="shared" si="37"/>
        <v>4.5890065557236508E-2</v>
      </c>
      <c r="S60" s="502"/>
      <c r="T60" s="508">
        <v>1983</v>
      </c>
      <c r="U60" s="93">
        <v>2468</v>
      </c>
      <c r="V60" s="413">
        <f t="shared" si="38"/>
        <v>485</v>
      </c>
      <c r="W60" s="97">
        <f t="shared" si="39"/>
        <v>0.24457892082702976</v>
      </c>
      <c r="X60" s="802"/>
    </row>
    <row r="61" spans="1:24" ht="47.25" x14ac:dyDescent="0.25">
      <c r="A61" s="204" t="s">
        <v>629</v>
      </c>
      <c r="B61" s="224" t="s">
        <v>613</v>
      </c>
      <c r="C61" s="628">
        <v>2926</v>
      </c>
      <c r="D61" s="503">
        <v>2999</v>
      </c>
      <c r="E61" s="503">
        <v>2999</v>
      </c>
      <c r="F61" s="207">
        <f>1265136.69/3/F55</f>
        <v>3055.8857246376811</v>
      </c>
      <c r="G61" s="507">
        <f t="shared" si="33"/>
        <v>56.885724637681051</v>
      </c>
      <c r="H61" s="505">
        <f t="shared" si="40"/>
        <v>1.8968230956212421E-2</v>
      </c>
      <c r="I61" s="506"/>
      <c r="J61" s="503">
        <v>2999</v>
      </c>
      <c r="K61" s="207">
        <f>2678533.07/K55/6</f>
        <v>3211.6703477218221</v>
      </c>
      <c r="L61" s="507">
        <f t="shared" ref="L61:L77" si="41">K61-J61</f>
        <v>212.67034772182205</v>
      </c>
      <c r="M61" s="505">
        <f t="shared" si="35"/>
        <v>7.0913753825215753E-2</v>
      </c>
      <c r="N61" s="506"/>
      <c r="O61" s="503">
        <v>2999</v>
      </c>
      <c r="P61" s="207">
        <f>3969828.49/9/P55</f>
        <v>3150.657531746032</v>
      </c>
      <c r="Q61" s="507">
        <f t="shared" ref="Q61:Q77" si="42">P61-O61</f>
        <v>151.65753174603196</v>
      </c>
      <c r="R61" s="505">
        <f t="shared" si="37"/>
        <v>5.0569367037689883E-2</v>
      </c>
      <c r="S61" s="506"/>
      <c r="T61" s="503">
        <v>2999</v>
      </c>
      <c r="U61" s="207">
        <f>6617178/12/U55</f>
        <v>3967.1330935251799</v>
      </c>
      <c r="V61" s="65">
        <f t="shared" si="38"/>
        <v>968.1330935251799</v>
      </c>
      <c r="W61" s="61">
        <f t="shared" si="39"/>
        <v>0.32281863738752248</v>
      </c>
      <c r="X61" s="812" t="s">
        <v>630</v>
      </c>
    </row>
    <row r="62" spans="1:24" ht="47.25" x14ac:dyDescent="0.25">
      <c r="A62" s="204" t="s">
        <v>631</v>
      </c>
      <c r="B62" s="224" t="s">
        <v>615</v>
      </c>
      <c r="C62" s="628">
        <v>2170</v>
      </c>
      <c r="D62" s="503">
        <v>2224</v>
      </c>
      <c r="E62" s="503">
        <v>2224</v>
      </c>
      <c r="F62" s="207">
        <f>1251532.65/3/F56</f>
        <v>2184.1756544502618</v>
      </c>
      <c r="G62" s="507">
        <f t="shared" si="33"/>
        <v>-39.824345549738155</v>
      </c>
      <c r="H62" s="505">
        <f t="shared" si="40"/>
        <v>-1.7906630193227586E-2</v>
      </c>
      <c r="I62" s="506"/>
      <c r="J62" s="503">
        <v>2224</v>
      </c>
      <c r="K62" s="207">
        <f>2599868.76/K56/6</f>
        <v>2268.646387434555</v>
      </c>
      <c r="L62" s="507">
        <f t="shared" si="41"/>
        <v>44.646387434554981</v>
      </c>
      <c r="M62" s="505">
        <f t="shared" si="35"/>
        <v>2.0074814493954578E-2</v>
      </c>
      <c r="N62" s="506"/>
      <c r="O62" s="503">
        <v>2224</v>
      </c>
      <c r="P62" s="207">
        <f>3930047.95/9/P56</f>
        <v>2194.331630374093</v>
      </c>
      <c r="Q62" s="507">
        <f t="shared" si="42"/>
        <v>-29.668369625906962</v>
      </c>
      <c r="R62" s="505">
        <f t="shared" si="37"/>
        <v>-1.334009425625313E-2</v>
      </c>
      <c r="S62" s="506"/>
      <c r="T62" s="503">
        <v>2224</v>
      </c>
      <c r="U62" s="207">
        <f>6653316/12/U56</f>
        <v>2786.145728643216</v>
      </c>
      <c r="V62" s="65">
        <f t="shared" si="38"/>
        <v>562.14572864321599</v>
      </c>
      <c r="W62" s="61">
        <f t="shared" si="39"/>
        <v>0.25276336719569065</v>
      </c>
      <c r="X62" s="812" t="s">
        <v>630</v>
      </c>
    </row>
    <row r="63" spans="1:24" ht="18" customHeight="1" x14ac:dyDescent="0.25">
      <c r="A63" s="204" t="s">
        <v>632</v>
      </c>
      <c r="B63" s="50" t="s">
        <v>617</v>
      </c>
      <c r="C63" s="628">
        <v>1228</v>
      </c>
      <c r="D63" s="503">
        <v>1259</v>
      </c>
      <c r="E63" s="503">
        <v>1259</v>
      </c>
      <c r="F63" s="207">
        <f>155901.06/3/F57</f>
        <v>1181.0686363636362</v>
      </c>
      <c r="G63" s="507">
        <f t="shared" si="33"/>
        <v>-77.931363636363812</v>
      </c>
      <c r="H63" s="505">
        <f t="shared" si="40"/>
        <v>-6.1899415120225426E-2</v>
      </c>
      <c r="I63" s="506"/>
      <c r="J63" s="503">
        <v>1259</v>
      </c>
      <c r="K63" s="207">
        <f>337012.82/K57/6</f>
        <v>1276.5637121212121</v>
      </c>
      <c r="L63" s="507">
        <f t="shared" si="41"/>
        <v>17.56371212121212</v>
      </c>
      <c r="M63" s="505">
        <f t="shared" si="35"/>
        <v>1.3950525910414711E-2</v>
      </c>
      <c r="N63" s="506"/>
      <c r="O63" s="503">
        <v>1259</v>
      </c>
      <c r="P63" s="207">
        <f>74438.97/P57</f>
        <v>1261.6774576271187</v>
      </c>
      <c r="Q63" s="507">
        <f t="shared" si="42"/>
        <v>2.6774576271186561</v>
      </c>
      <c r="R63" s="505">
        <f t="shared" si="37"/>
        <v>2.1266541915160096E-3</v>
      </c>
      <c r="S63" s="514"/>
      <c r="T63" s="503">
        <v>1259</v>
      </c>
      <c r="U63" s="207">
        <f>1006430/12/U57</f>
        <v>1421.5112994350284</v>
      </c>
      <c r="V63" s="65">
        <f t="shared" si="38"/>
        <v>162.51129943502838</v>
      </c>
      <c r="W63" s="61">
        <f t="shared" si="39"/>
        <v>0.12907966595315995</v>
      </c>
      <c r="X63" s="805"/>
    </row>
    <row r="64" spans="1:24" ht="18" customHeight="1" x14ac:dyDescent="0.25">
      <c r="A64" s="204" t="s">
        <v>633</v>
      </c>
      <c r="B64" s="50" t="s">
        <v>621</v>
      </c>
      <c r="C64" s="628">
        <v>2420</v>
      </c>
      <c r="D64" s="503">
        <v>2481</v>
      </c>
      <c r="E64" s="503">
        <v>2481</v>
      </c>
      <c r="F64" s="207">
        <f>277234.28/3/F58</f>
        <v>2253.9372357723582</v>
      </c>
      <c r="G64" s="507">
        <f t="shared" si="33"/>
        <v>-227.06276422764176</v>
      </c>
      <c r="H64" s="505">
        <f t="shared" si="40"/>
        <v>-9.1520662727787888E-2</v>
      </c>
      <c r="I64" s="506"/>
      <c r="J64" s="503">
        <v>2481</v>
      </c>
      <c r="K64" s="207">
        <f>(496030.52+57745.78)/6/K58</f>
        <v>2307.4012499999999</v>
      </c>
      <c r="L64" s="507">
        <f t="shared" si="41"/>
        <v>-173.59875000000011</v>
      </c>
      <c r="M64" s="505">
        <f t="shared" si="35"/>
        <v>-6.9971281741233418E-2</v>
      </c>
      <c r="N64" s="506"/>
      <c r="O64" s="503">
        <v>2481</v>
      </c>
      <c r="P64" s="207">
        <f>744635.16/9/P58</f>
        <v>2668.9432258064517</v>
      </c>
      <c r="Q64" s="507">
        <f t="shared" si="42"/>
        <v>187.94322580645166</v>
      </c>
      <c r="R64" s="505">
        <f t="shared" si="37"/>
        <v>7.5753013223076038E-2</v>
      </c>
      <c r="S64" s="514"/>
      <c r="T64" s="503">
        <v>2481</v>
      </c>
      <c r="U64" s="207">
        <f>1005653.99/12/U58</f>
        <v>2539.5302777777774</v>
      </c>
      <c r="V64" s="65">
        <f t="shared" si="38"/>
        <v>58.530277777777428</v>
      </c>
      <c r="W64" s="61">
        <f t="shared" si="39"/>
        <v>2.3591405795154143E-2</v>
      </c>
      <c r="X64" s="805"/>
    </row>
    <row r="65" spans="1:25" ht="47.25" x14ac:dyDescent="0.25">
      <c r="A65" s="204" t="s">
        <v>634</v>
      </c>
      <c r="B65" s="50" t="s">
        <v>625</v>
      </c>
      <c r="C65" s="628">
        <v>1098</v>
      </c>
      <c r="D65" s="503">
        <v>1125</v>
      </c>
      <c r="E65" s="503">
        <v>1125</v>
      </c>
      <c r="F65" s="207">
        <f>746484.11/3/F59</f>
        <v>1125.9187179487178</v>
      </c>
      <c r="G65" s="507">
        <f t="shared" si="33"/>
        <v>0.91871794871781276</v>
      </c>
      <c r="H65" s="505">
        <f t="shared" si="40"/>
        <v>8.1663817663805581E-4</v>
      </c>
      <c r="I65" s="506"/>
      <c r="J65" s="503">
        <v>1125</v>
      </c>
      <c r="K65" s="207">
        <f>1598038.09/K59/6</f>
        <v>1199.7282957957959</v>
      </c>
      <c r="L65" s="507">
        <f t="shared" si="41"/>
        <v>74.72829579579593</v>
      </c>
      <c r="M65" s="505">
        <f t="shared" si="35"/>
        <v>6.6425151818485267E-2</v>
      </c>
      <c r="N65" s="506"/>
      <c r="O65" s="503">
        <v>1125</v>
      </c>
      <c r="P65" s="207">
        <f>(3102301.62-1068319.06+153543.64)/9/P59</f>
        <v>1094.857957957958</v>
      </c>
      <c r="Q65" s="507">
        <f t="shared" si="42"/>
        <v>-30.142042042042021</v>
      </c>
      <c r="R65" s="505">
        <f t="shared" si="37"/>
        <v>-2.6792926259592908E-2</v>
      </c>
      <c r="S65" s="506"/>
      <c r="T65" s="503">
        <v>1125</v>
      </c>
      <c r="U65" s="207">
        <f>4391862/12/U59</f>
        <v>1626.6155555555556</v>
      </c>
      <c r="V65" s="65">
        <f t="shared" si="38"/>
        <v>501.6155555555556</v>
      </c>
      <c r="W65" s="61">
        <f t="shared" si="39"/>
        <v>0.44588049382716055</v>
      </c>
      <c r="X65" s="812" t="s">
        <v>630</v>
      </c>
    </row>
    <row r="66" spans="1:25" ht="18" customHeight="1" x14ac:dyDescent="0.25">
      <c r="A66" s="216" t="s">
        <v>635</v>
      </c>
      <c r="B66" s="103" t="s">
        <v>636</v>
      </c>
      <c r="C66" s="499">
        <v>642</v>
      </c>
      <c r="D66" s="499">
        <v>649</v>
      </c>
      <c r="E66" s="499">
        <v>646</v>
      </c>
      <c r="F66" s="93">
        <v>648</v>
      </c>
      <c r="G66" s="500">
        <f t="shared" si="33"/>
        <v>2</v>
      </c>
      <c r="H66" s="501">
        <f t="shared" si="40"/>
        <v>3.0959752321981426E-3</v>
      </c>
      <c r="I66" s="502"/>
      <c r="J66" s="499">
        <v>648</v>
      </c>
      <c r="K66" s="667">
        <v>652</v>
      </c>
      <c r="L66" s="500">
        <f t="shared" si="41"/>
        <v>4</v>
      </c>
      <c r="M66" s="501">
        <f t="shared" si="35"/>
        <v>6.1728395061728392E-3</v>
      </c>
      <c r="N66" s="502"/>
      <c r="O66" s="499">
        <v>649</v>
      </c>
      <c r="P66" s="93">
        <v>663</v>
      </c>
      <c r="Q66" s="500">
        <f t="shared" si="42"/>
        <v>14</v>
      </c>
      <c r="R66" s="501">
        <f t="shared" si="37"/>
        <v>2.1571648690292759E-2</v>
      </c>
      <c r="S66" s="502"/>
      <c r="T66" s="499">
        <v>650</v>
      </c>
      <c r="U66" s="93">
        <v>671</v>
      </c>
      <c r="V66" s="96">
        <f t="shared" si="38"/>
        <v>21</v>
      </c>
      <c r="W66" s="97">
        <f t="shared" si="39"/>
        <v>3.2307692307692308E-2</v>
      </c>
      <c r="X66" s="802"/>
    </row>
    <row r="67" spans="1:25" ht="18" customHeight="1" x14ac:dyDescent="0.25">
      <c r="A67" s="204" t="s">
        <v>637</v>
      </c>
      <c r="B67" s="224" t="s">
        <v>613</v>
      </c>
      <c r="C67" s="509">
        <v>138</v>
      </c>
      <c r="D67" s="509">
        <v>140</v>
      </c>
      <c r="E67" s="509">
        <v>139</v>
      </c>
      <c r="F67" s="439">
        <v>139</v>
      </c>
      <c r="G67" s="504">
        <f t="shared" si="33"/>
        <v>0</v>
      </c>
      <c r="H67" s="505">
        <f t="shared" si="40"/>
        <v>0</v>
      </c>
      <c r="I67" s="506"/>
      <c r="J67" s="509">
        <v>139</v>
      </c>
      <c r="K67" s="668">
        <v>140</v>
      </c>
      <c r="L67" s="504">
        <f t="shared" si="41"/>
        <v>1</v>
      </c>
      <c r="M67" s="505">
        <f t="shared" si="35"/>
        <v>7.1942446043165471E-3</v>
      </c>
      <c r="N67" s="506"/>
      <c r="O67" s="509">
        <v>140</v>
      </c>
      <c r="P67" s="207">
        <v>138</v>
      </c>
      <c r="Q67" s="504">
        <f t="shared" si="42"/>
        <v>-2</v>
      </c>
      <c r="R67" s="505">
        <f t="shared" si="37"/>
        <v>-1.4285714285714285E-2</v>
      </c>
      <c r="S67" s="506"/>
      <c r="T67" s="509">
        <v>140</v>
      </c>
      <c r="U67" s="207">
        <v>143</v>
      </c>
      <c r="V67" s="208">
        <f t="shared" si="38"/>
        <v>3</v>
      </c>
      <c r="W67" s="61">
        <f t="shared" si="39"/>
        <v>2.1428571428571429E-2</v>
      </c>
      <c r="X67" s="805"/>
    </row>
    <row r="68" spans="1:25" ht="18" customHeight="1" x14ac:dyDescent="0.25">
      <c r="A68" s="204" t="s">
        <v>638</v>
      </c>
      <c r="B68" s="224" t="s">
        <v>615</v>
      </c>
      <c r="C68" s="503">
        <v>191</v>
      </c>
      <c r="D68" s="503">
        <v>193</v>
      </c>
      <c r="E68" s="503">
        <v>191</v>
      </c>
      <c r="F68" s="440">
        <v>192</v>
      </c>
      <c r="G68" s="507">
        <f t="shared" si="33"/>
        <v>1</v>
      </c>
      <c r="H68" s="505">
        <f t="shared" si="40"/>
        <v>5.235602094240838E-3</v>
      </c>
      <c r="I68" s="506"/>
      <c r="J68" s="503">
        <v>193</v>
      </c>
      <c r="K68" s="668">
        <v>195</v>
      </c>
      <c r="L68" s="507">
        <f t="shared" si="41"/>
        <v>2</v>
      </c>
      <c r="M68" s="505">
        <f t="shared" si="35"/>
        <v>1.0362694300518135E-2</v>
      </c>
      <c r="N68" s="506"/>
      <c r="O68" s="503">
        <v>193</v>
      </c>
      <c r="P68" s="64">
        <v>205</v>
      </c>
      <c r="Q68" s="507">
        <f t="shared" si="42"/>
        <v>12</v>
      </c>
      <c r="R68" s="505">
        <f t="shared" si="37"/>
        <v>6.2176165803108807E-2</v>
      </c>
      <c r="S68" s="506"/>
      <c r="T68" s="503">
        <v>193</v>
      </c>
      <c r="U68" s="64">
        <v>205</v>
      </c>
      <c r="V68" s="65">
        <f t="shared" si="38"/>
        <v>12</v>
      </c>
      <c r="W68" s="61">
        <f t="shared" si="39"/>
        <v>6.2176165803108807E-2</v>
      </c>
      <c r="X68" s="805"/>
    </row>
    <row r="69" spans="1:25" ht="78.75" customHeight="1" x14ac:dyDescent="0.25">
      <c r="A69" s="204" t="s">
        <v>639</v>
      </c>
      <c r="B69" s="50" t="s">
        <v>617</v>
      </c>
      <c r="C69" s="503">
        <v>44</v>
      </c>
      <c r="D69" s="503">
        <v>45</v>
      </c>
      <c r="E69" s="503">
        <v>45</v>
      </c>
      <c r="F69" s="440">
        <v>44</v>
      </c>
      <c r="G69" s="507">
        <f t="shared" si="33"/>
        <v>-1</v>
      </c>
      <c r="H69" s="505">
        <f>IFERROR(G69/ABS(E69), "-")</f>
        <v>-2.2222222222222223E-2</v>
      </c>
      <c r="I69" s="506"/>
      <c r="J69" s="503">
        <v>45</v>
      </c>
      <c r="K69" s="668">
        <v>44</v>
      </c>
      <c r="L69" s="507">
        <f t="shared" si="41"/>
        <v>-1</v>
      </c>
      <c r="M69" s="505">
        <f t="shared" si="35"/>
        <v>-2.2222222222222223E-2</v>
      </c>
      <c r="N69" s="506"/>
      <c r="O69" s="503">
        <v>45</v>
      </c>
      <c r="P69" s="64">
        <v>61</v>
      </c>
      <c r="Q69" s="507">
        <f t="shared" si="42"/>
        <v>16</v>
      </c>
      <c r="R69" s="505">
        <f t="shared" si="37"/>
        <v>0.35555555555555557</v>
      </c>
      <c r="S69" s="626" t="s">
        <v>640</v>
      </c>
      <c r="T69" s="503">
        <v>45</v>
      </c>
      <c r="U69" s="64">
        <v>57</v>
      </c>
      <c r="V69" s="65">
        <f t="shared" si="38"/>
        <v>12</v>
      </c>
      <c r="W69" s="61">
        <f t="shared" si="39"/>
        <v>0.26666666666666666</v>
      </c>
      <c r="X69" s="808" t="s">
        <v>619</v>
      </c>
    </row>
    <row r="70" spans="1:25" ht="75.75" customHeight="1" x14ac:dyDescent="0.25">
      <c r="A70" s="204" t="s">
        <v>641</v>
      </c>
      <c r="B70" s="50" t="s">
        <v>621</v>
      </c>
      <c r="C70" s="503">
        <v>39</v>
      </c>
      <c r="D70" s="503">
        <v>39</v>
      </c>
      <c r="E70" s="503">
        <v>39</v>
      </c>
      <c r="F70" s="440">
        <v>40</v>
      </c>
      <c r="G70" s="507">
        <f t="shared" si="33"/>
        <v>1</v>
      </c>
      <c r="H70" s="505">
        <f>IFERROR(G70/ABS(E70), "-")</f>
        <v>2.564102564102564E-2</v>
      </c>
      <c r="I70" s="506"/>
      <c r="J70" s="503">
        <v>39</v>
      </c>
      <c r="K70" s="668">
        <v>39</v>
      </c>
      <c r="L70" s="507">
        <f t="shared" si="41"/>
        <v>0</v>
      </c>
      <c r="M70" s="505">
        <f t="shared" si="35"/>
        <v>0</v>
      </c>
      <c r="N70" s="506"/>
      <c r="O70" s="503">
        <v>39</v>
      </c>
      <c r="P70" s="64">
        <v>32</v>
      </c>
      <c r="Q70" s="507">
        <f t="shared" si="42"/>
        <v>-7</v>
      </c>
      <c r="R70" s="505">
        <f t="shared" si="37"/>
        <v>-0.17948717948717949</v>
      </c>
      <c r="S70" s="626" t="s">
        <v>642</v>
      </c>
      <c r="T70" s="503">
        <v>39</v>
      </c>
      <c r="U70" s="64">
        <v>32</v>
      </c>
      <c r="V70" s="65">
        <f t="shared" si="38"/>
        <v>-7</v>
      </c>
      <c r="W70" s="61">
        <f t="shared" si="39"/>
        <v>-0.17948717948717949</v>
      </c>
      <c r="X70" s="808" t="s">
        <v>623</v>
      </c>
    </row>
    <row r="71" spans="1:25" ht="18" customHeight="1" x14ac:dyDescent="0.25">
      <c r="A71" s="204" t="s">
        <v>643</v>
      </c>
      <c r="B71" s="50" t="s">
        <v>625</v>
      </c>
      <c r="C71" s="503">
        <v>230</v>
      </c>
      <c r="D71" s="503">
        <v>232</v>
      </c>
      <c r="E71" s="503">
        <v>232</v>
      </c>
      <c r="F71" s="440">
        <v>234</v>
      </c>
      <c r="G71" s="507">
        <f t="shared" si="33"/>
        <v>2</v>
      </c>
      <c r="H71" s="505">
        <f t="shared" si="40"/>
        <v>8.6206896551724137E-3</v>
      </c>
      <c r="I71" s="506"/>
      <c r="J71" s="503">
        <v>232</v>
      </c>
      <c r="K71" s="668">
        <v>234</v>
      </c>
      <c r="L71" s="507">
        <f t="shared" si="41"/>
        <v>2</v>
      </c>
      <c r="M71" s="505">
        <f t="shared" si="35"/>
        <v>8.6206896551724137E-3</v>
      </c>
      <c r="N71" s="506"/>
      <c r="O71" s="503">
        <v>232</v>
      </c>
      <c r="P71" s="64">
        <v>227</v>
      </c>
      <c r="Q71" s="507">
        <f t="shared" si="42"/>
        <v>-5</v>
      </c>
      <c r="R71" s="505">
        <f t="shared" si="37"/>
        <v>-2.1551724137931036E-2</v>
      </c>
      <c r="S71" s="506"/>
      <c r="T71" s="503">
        <v>233</v>
      </c>
      <c r="U71" s="64">
        <v>234</v>
      </c>
      <c r="V71" s="65">
        <f t="shared" si="38"/>
        <v>1</v>
      </c>
      <c r="W71" s="61">
        <f t="shared" si="39"/>
        <v>4.2918454935622317E-3</v>
      </c>
      <c r="X71" s="805"/>
    </row>
    <row r="72" spans="1:25" ht="18" customHeight="1" x14ac:dyDescent="0.25">
      <c r="A72" s="216" t="s">
        <v>644</v>
      </c>
      <c r="B72" s="103" t="s">
        <v>645</v>
      </c>
      <c r="C72" s="499" t="s">
        <v>646</v>
      </c>
      <c r="D72" s="93">
        <v>1959</v>
      </c>
      <c r="E72" s="93">
        <v>1959</v>
      </c>
      <c r="F72" s="93">
        <v>1964</v>
      </c>
      <c r="G72" s="500">
        <f>F72-E72</f>
        <v>5</v>
      </c>
      <c r="H72" s="501">
        <f t="shared" si="40"/>
        <v>2.5523226135783562E-3</v>
      </c>
      <c r="I72" s="502"/>
      <c r="J72" s="93">
        <v>1959</v>
      </c>
      <c r="K72" s="93">
        <f>7767229.04/K66/6</f>
        <v>1985.4879959100206</v>
      </c>
      <c r="L72" s="500">
        <f>K72-J72</f>
        <v>26.487995910020572</v>
      </c>
      <c r="M72" s="501">
        <f t="shared" si="35"/>
        <v>1.3521182189903305E-2</v>
      </c>
      <c r="N72" s="502"/>
      <c r="O72" s="93">
        <v>1959</v>
      </c>
      <c r="P72" s="93">
        <v>2041</v>
      </c>
      <c r="Q72" s="500">
        <f>P72-O72</f>
        <v>82</v>
      </c>
      <c r="R72" s="501">
        <f t="shared" si="37"/>
        <v>4.1858090862685042E-2</v>
      </c>
      <c r="S72" s="502"/>
      <c r="T72" s="93">
        <v>1959</v>
      </c>
      <c r="U72" s="93">
        <v>2443</v>
      </c>
      <c r="V72" s="413">
        <f t="shared" si="38"/>
        <v>484</v>
      </c>
      <c r="W72" s="97">
        <f t="shared" si="39"/>
        <v>0.24706482899438489</v>
      </c>
      <c r="X72" s="802"/>
    </row>
    <row r="73" spans="1:25" ht="48.75" customHeight="1" x14ac:dyDescent="0.25">
      <c r="A73" s="204" t="s">
        <v>647</v>
      </c>
      <c r="B73" s="224" t="s">
        <v>613</v>
      </c>
      <c r="C73" s="627">
        <v>2926</v>
      </c>
      <c r="D73" s="64">
        <v>2999</v>
      </c>
      <c r="E73" s="64">
        <v>2999</v>
      </c>
      <c r="F73" s="207">
        <f>1265136.69/3/F67</f>
        <v>3033.9009352517983</v>
      </c>
      <c r="G73" s="504">
        <f t="shared" si="33"/>
        <v>34.900935251798273</v>
      </c>
      <c r="H73" s="505">
        <f t="shared" si="40"/>
        <v>1.1637524258685653E-2</v>
      </c>
      <c r="I73" s="506"/>
      <c r="J73" s="64">
        <v>2999</v>
      </c>
      <c r="K73" s="207">
        <f>2678533.07/K67/6</f>
        <v>3188.7298452380951</v>
      </c>
      <c r="L73" s="504">
        <f t="shared" si="41"/>
        <v>189.72984523809509</v>
      </c>
      <c r="M73" s="505">
        <f t="shared" si="35"/>
        <v>6.3264369869321477E-2</v>
      </c>
      <c r="N73" s="506"/>
      <c r="O73" s="64">
        <v>2999</v>
      </c>
      <c r="P73" s="207">
        <f>3969828.49/9/P67</f>
        <v>3196.31923510467</v>
      </c>
      <c r="Q73" s="504">
        <f t="shared" si="42"/>
        <v>197.31923510467004</v>
      </c>
      <c r="R73" s="505">
        <f t="shared" si="37"/>
        <v>6.5795010038236096E-2</v>
      </c>
      <c r="S73" s="506"/>
      <c r="T73" s="64">
        <v>2999</v>
      </c>
      <c r="U73" s="207">
        <f>6617178/12/U67</f>
        <v>3856.1643356643358</v>
      </c>
      <c r="V73" s="208">
        <f>U73-T73</f>
        <v>857.16433566433579</v>
      </c>
      <c r="W73" s="61">
        <f>IFERROR(V73/ABS(T73), "-")</f>
        <v>0.28581671746059878</v>
      </c>
      <c r="X73" s="808" t="s">
        <v>630</v>
      </c>
    </row>
    <row r="74" spans="1:25" ht="47.25" x14ac:dyDescent="0.25">
      <c r="A74" s="204" t="s">
        <v>648</v>
      </c>
      <c r="B74" s="224" t="s">
        <v>615</v>
      </c>
      <c r="C74" s="627">
        <v>2170</v>
      </c>
      <c r="D74" s="64">
        <v>2224</v>
      </c>
      <c r="E74" s="64">
        <v>2224</v>
      </c>
      <c r="F74" s="64">
        <f>1251532.65/3/F68</f>
        <v>2172.7997395833331</v>
      </c>
      <c r="G74" s="507">
        <f t="shared" si="33"/>
        <v>-51.200260416666879</v>
      </c>
      <c r="H74" s="505">
        <f t="shared" si="40"/>
        <v>-2.3021699827637986E-2</v>
      </c>
      <c r="I74" s="506"/>
      <c r="J74" s="64">
        <v>2224</v>
      </c>
      <c r="K74" s="64">
        <f>2599868.76/K68/6</f>
        <v>2222.1100512820508</v>
      </c>
      <c r="L74" s="507">
        <f t="shared" si="41"/>
        <v>-1.8899487179492098</v>
      </c>
      <c r="M74" s="505">
        <f t="shared" si="35"/>
        <v>-8.497970854088174E-4</v>
      </c>
      <c r="N74" s="506"/>
      <c r="O74" s="64">
        <v>2224</v>
      </c>
      <c r="P74" s="64">
        <f>3930047.95/9/P68</f>
        <v>2130.1072899728997</v>
      </c>
      <c r="Q74" s="507">
        <f t="shared" si="42"/>
        <v>-93.892710027100293</v>
      </c>
      <c r="R74" s="505">
        <f t="shared" si="37"/>
        <v>-4.2217945156070275E-2</v>
      </c>
      <c r="S74" s="506"/>
      <c r="T74" s="64">
        <v>2224</v>
      </c>
      <c r="U74" s="64">
        <f>6653316/12/U68</f>
        <v>2704.6</v>
      </c>
      <c r="V74" s="208">
        <f t="shared" ref="V74:V77" si="43">U74-T74</f>
        <v>480.59999999999991</v>
      </c>
      <c r="W74" s="61">
        <f>IFERROR(V74/ABS(T74), "-")</f>
        <v>0.21609712230215825</v>
      </c>
      <c r="X74" s="812" t="s">
        <v>630</v>
      </c>
    </row>
    <row r="75" spans="1:25" ht="18" customHeight="1" x14ac:dyDescent="0.25">
      <c r="A75" s="204" t="s">
        <v>649</v>
      </c>
      <c r="B75" s="50" t="s">
        <v>617</v>
      </c>
      <c r="C75" s="627">
        <v>1256</v>
      </c>
      <c r="D75" s="209">
        <v>1287</v>
      </c>
      <c r="E75" s="209">
        <v>1287</v>
      </c>
      <c r="F75" s="64">
        <f>155901.06/3/F69</f>
        <v>1181.0686363636362</v>
      </c>
      <c r="G75" s="507">
        <f t="shared" si="33"/>
        <v>-105.93136363636381</v>
      </c>
      <c r="H75" s="505">
        <f t="shared" si="40"/>
        <v>-8.2308751854206538E-2</v>
      </c>
      <c r="I75" s="506"/>
      <c r="J75" s="209">
        <v>1287</v>
      </c>
      <c r="K75" s="64">
        <f>337012.82/K69/6</f>
        <v>1276.5637121212121</v>
      </c>
      <c r="L75" s="507">
        <f t="shared" si="41"/>
        <v>-10.43628787878788</v>
      </c>
      <c r="M75" s="505">
        <f t="shared" si="35"/>
        <v>-8.1090037908219739E-3</v>
      </c>
      <c r="N75" s="506"/>
      <c r="O75" s="209">
        <v>1287</v>
      </c>
      <c r="P75" s="64">
        <v>1220.31</v>
      </c>
      <c r="Q75" s="507">
        <f t="shared" si="42"/>
        <v>-66.690000000000055</v>
      </c>
      <c r="R75" s="505">
        <f t="shared" si="37"/>
        <v>-5.181818181818186E-2</v>
      </c>
      <c r="S75" s="514"/>
      <c r="T75" s="209">
        <v>1287</v>
      </c>
      <c r="U75" s="64">
        <f>1006430/12/U69</f>
        <v>1471.3888888888889</v>
      </c>
      <c r="V75" s="208">
        <f t="shared" si="43"/>
        <v>184.38888888888891</v>
      </c>
      <c r="W75" s="61">
        <f>IFERROR(V75/ABS(T75), "-")</f>
        <v>0.14327030993697662</v>
      </c>
      <c r="X75" s="805"/>
    </row>
    <row r="76" spans="1:25" ht="18" customHeight="1" x14ac:dyDescent="0.25">
      <c r="A76" s="204" t="s">
        <v>650</v>
      </c>
      <c r="B76" s="50" t="s">
        <v>621</v>
      </c>
      <c r="C76" s="627">
        <v>2482</v>
      </c>
      <c r="D76" s="209">
        <v>2544</v>
      </c>
      <c r="E76" s="209">
        <v>2544</v>
      </c>
      <c r="F76" s="64">
        <f>277234.28/3/F70</f>
        <v>2310.2856666666671</v>
      </c>
      <c r="G76" s="507">
        <f t="shared" si="33"/>
        <v>-233.71433333333289</v>
      </c>
      <c r="H76" s="505">
        <f t="shared" si="40"/>
        <v>-9.1868841719077388E-2</v>
      </c>
      <c r="I76" s="506"/>
      <c r="J76" s="209">
        <v>2544</v>
      </c>
      <c r="K76" s="64">
        <f>(496030.52+57745.78)/K70/6</f>
        <v>2366.565384615385</v>
      </c>
      <c r="L76" s="507">
        <f t="shared" si="41"/>
        <v>-177.43461538461497</v>
      </c>
      <c r="M76" s="505">
        <f t="shared" si="35"/>
        <v>-6.9746311078858092E-2</v>
      </c>
      <c r="N76" s="506"/>
      <c r="O76" s="209">
        <v>2544</v>
      </c>
      <c r="P76" s="64">
        <f>744635.16/9/P70</f>
        <v>2585.5387500000002</v>
      </c>
      <c r="Q76" s="507">
        <f t="shared" si="42"/>
        <v>41.538750000000164</v>
      </c>
      <c r="R76" s="505">
        <f t="shared" si="37"/>
        <v>1.6328125000000065E-2</v>
      </c>
      <c r="S76" s="514"/>
      <c r="T76" s="209">
        <v>2544</v>
      </c>
      <c r="U76" s="64">
        <f>1005653.99/12/U70</f>
        <v>2618.8905989583332</v>
      </c>
      <c r="V76" s="208">
        <f t="shared" si="43"/>
        <v>74.890598958333157</v>
      </c>
      <c r="W76" s="61">
        <f>IFERROR(V76/ABS(T76), "-")</f>
        <v>2.9438128521357375E-2</v>
      </c>
      <c r="X76" s="805"/>
    </row>
    <row r="77" spans="1:25" ht="47.25" x14ac:dyDescent="0.25">
      <c r="A77" s="204" t="s">
        <v>651</v>
      </c>
      <c r="B77" s="50" t="s">
        <v>625</v>
      </c>
      <c r="C77" s="627">
        <v>1050</v>
      </c>
      <c r="D77" s="209">
        <v>1076</v>
      </c>
      <c r="E77" s="209">
        <v>1076</v>
      </c>
      <c r="F77" s="64">
        <f>746484.11/3/F71</f>
        <v>1063.3676780626779</v>
      </c>
      <c r="G77" s="507">
        <f t="shared" si="33"/>
        <v>-12.632321937322104</v>
      </c>
      <c r="H77" s="505">
        <f t="shared" si="40"/>
        <v>-1.1740076149927605E-2</v>
      </c>
      <c r="I77" s="506"/>
      <c r="J77" s="209">
        <v>1076</v>
      </c>
      <c r="K77" s="64">
        <f>1598038.09/K71/6</f>
        <v>1138.2037678062679</v>
      </c>
      <c r="L77" s="507">
        <f t="shared" si="41"/>
        <v>62.203767806267933</v>
      </c>
      <c r="M77" s="505">
        <f t="shared" si="35"/>
        <v>5.7810193128501795E-2</v>
      </c>
      <c r="N77" s="506"/>
      <c r="O77" s="209">
        <v>1076</v>
      </c>
      <c r="P77" s="64">
        <f>(3102301.62-1068319.06+153543.64)/9/P71</f>
        <v>1070.7421439060206</v>
      </c>
      <c r="Q77" s="507">
        <f t="shared" si="42"/>
        <v>-5.2578560939793988</v>
      </c>
      <c r="R77" s="505">
        <f t="shared" si="37"/>
        <v>-4.8864833587169134E-3</v>
      </c>
      <c r="S77" s="506"/>
      <c r="T77" s="209">
        <v>1076</v>
      </c>
      <c r="U77" s="64">
        <f>4391862/12/U71</f>
        <v>1564.0534188034187</v>
      </c>
      <c r="V77" s="208">
        <f t="shared" si="43"/>
        <v>488.05341880341871</v>
      </c>
      <c r="W77" s="61">
        <f>IFERROR(V77/ABS(T77), "-")</f>
        <v>0.45358124424109547</v>
      </c>
      <c r="X77" s="812" t="s">
        <v>630</v>
      </c>
    </row>
    <row r="78" spans="1:25" ht="18" customHeight="1" x14ac:dyDescent="0.25">
      <c r="A78" s="216" t="s">
        <v>652</v>
      </c>
      <c r="B78" s="98" t="s">
        <v>653</v>
      </c>
      <c r="C78" s="489" t="s">
        <v>497</v>
      </c>
      <c r="D78" s="275" t="s">
        <v>497</v>
      </c>
      <c r="E78" s="226" t="s">
        <v>497</v>
      </c>
      <c r="F78" s="186" t="s">
        <v>497</v>
      </c>
      <c r="G78" s="186" t="s">
        <v>497</v>
      </c>
      <c r="H78" s="203" t="s">
        <v>497</v>
      </c>
      <c r="I78" s="203" t="s">
        <v>497</v>
      </c>
      <c r="J78" s="202" t="s">
        <v>497</v>
      </c>
      <c r="K78" s="186" t="s">
        <v>497</v>
      </c>
      <c r="L78" s="186" t="s">
        <v>497</v>
      </c>
      <c r="M78" s="203" t="s">
        <v>497</v>
      </c>
      <c r="N78" s="203" t="s">
        <v>497</v>
      </c>
      <c r="O78" s="202" t="s">
        <v>497</v>
      </c>
      <c r="P78" s="186" t="s">
        <v>497</v>
      </c>
      <c r="Q78" s="186" t="s">
        <v>497</v>
      </c>
      <c r="R78" s="203" t="s">
        <v>497</v>
      </c>
      <c r="S78" s="203" t="s">
        <v>497</v>
      </c>
      <c r="T78" s="202" t="s">
        <v>497</v>
      </c>
      <c r="U78" s="186" t="s">
        <v>497</v>
      </c>
      <c r="V78" s="186" t="s">
        <v>497</v>
      </c>
      <c r="W78" s="203" t="s">
        <v>497</v>
      </c>
      <c r="X78" s="803" t="s">
        <v>497</v>
      </c>
    </row>
    <row r="79" spans="1:25" ht="18" customHeight="1" x14ac:dyDescent="0.25">
      <c r="A79" s="204" t="s">
        <v>654</v>
      </c>
      <c r="B79" s="50" t="s">
        <v>655</v>
      </c>
      <c r="C79" s="490">
        <v>12</v>
      </c>
      <c r="D79" s="227">
        <v>13</v>
      </c>
      <c r="E79" s="64">
        <v>12</v>
      </c>
      <c r="F79" s="64">
        <v>11</v>
      </c>
      <c r="G79" s="65">
        <f>F79-E79</f>
        <v>-1</v>
      </c>
      <c r="H79" s="222">
        <f t="shared" ref="H79:H82" si="44">IFERROR(G79/ABS(E79), "-")</f>
        <v>-8.3333333333333329E-2</v>
      </c>
      <c r="I79" s="190"/>
      <c r="J79" s="228">
        <v>13</v>
      </c>
      <c r="K79" s="668">
        <v>12</v>
      </c>
      <c r="L79" s="65">
        <f t="shared" ref="L79:L82" si="45">K79-J79</f>
        <v>-1</v>
      </c>
      <c r="M79" s="222">
        <f t="shared" ref="M79:M82" si="46">IFERROR(L79/ABS(J79), "-")</f>
        <v>-7.6923076923076927E-2</v>
      </c>
      <c r="N79" s="190"/>
      <c r="O79" s="228">
        <v>14</v>
      </c>
      <c r="P79" s="64">
        <v>14</v>
      </c>
      <c r="Q79" s="65">
        <f t="shared" ref="Q79:Q82" si="47">P79-O79</f>
        <v>0</v>
      </c>
      <c r="R79" s="222">
        <f t="shared" ref="R79:R81" si="48">IFERROR(Q79/ABS(O79), "-")</f>
        <v>0</v>
      </c>
      <c r="S79" s="190"/>
      <c r="T79" s="228">
        <v>14</v>
      </c>
      <c r="U79" s="64">
        <v>14</v>
      </c>
      <c r="V79" s="65">
        <f t="shared" ref="V79:V82" si="49">U79-T79</f>
        <v>0</v>
      </c>
      <c r="W79" s="222">
        <f t="shared" ref="W79:W82" si="50">IFERROR(V79/ABS(T79), "-")</f>
        <v>0</v>
      </c>
      <c r="X79" s="805"/>
    </row>
    <row r="80" spans="1:25" ht="101.25" customHeight="1" x14ac:dyDescent="0.25">
      <c r="A80" s="204" t="s">
        <v>656</v>
      </c>
      <c r="B80" s="50" t="s">
        <v>657</v>
      </c>
      <c r="C80" s="492">
        <v>19</v>
      </c>
      <c r="D80" s="619">
        <v>19</v>
      </c>
      <c r="E80" s="81">
        <v>18.239999999999998</v>
      </c>
      <c r="F80" s="81">
        <f>21496.22/710</f>
        <v>30.276366197183101</v>
      </c>
      <c r="G80" s="82">
        <f t="shared" ref="G80:G82" si="51">F80-E80</f>
        <v>12.036366197183103</v>
      </c>
      <c r="H80" s="620">
        <f t="shared" si="44"/>
        <v>0.6598884976525824</v>
      </c>
      <c r="I80" s="963" t="s">
        <v>658</v>
      </c>
      <c r="J80" s="621">
        <v>18.54</v>
      </c>
      <c r="K80" s="731">
        <f>45203.66/6/K66</f>
        <v>11.555127811860942</v>
      </c>
      <c r="L80" s="82">
        <f t="shared" si="45"/>
        <v>-6.9848721881390574</v>
      </c>
      <c r="M80" s="620">
        <f t="shared" si="46"/>
        <v>-0.37674607271515953</v>
      </c>
      <c r="N80" s="626" t="s">
        <v>659</v>
      </c>
      <c r="O80" s="621">
        <v>18.11</v>
      </c>
      <c r="P80" s="81">
        <f>66239.73/9/345</f>
        <v>21.333246376811591</v>
      </c>
      <c r="Q80" s="82">
        <f t="shared" si="47"/>
        <v>3.2232463768115913</v>
      </c>
      <c r="R80" s="620">
        <f t="shared" si="48"/>
        <v>0.17798157795756994</v>
      </c>
      <c r="S80" s="626" t="s">
        <v>660</v>
      </c>
      <c r="T80" s="621">
        <v>19</v>
      </c>
      <c r="U80" s="64">
        <f>89100.45/12/368</f>
        <v>20.176732336956519</v>
      </c>
      <c r="V80" s="65">
        <f t="shared" si="49"/>
        <v>1.176732336956519</v>
      </c>
      <c r="W80" s="222">
        <f t="shared" si="50"/>
        <v>6.1933280892448372E-2</v>
      </c>
      <c r="X80" s="805"/>
      <c r="Y80" s="10" t="s">
        <v>75</v>
      </c>
    </row>
    <row r="81" spans="1:24" ht="81" customHeight="1" x14ac:dyDescent="0.25">
      <c r="A81" s="204" t="s">
        <v>661</v>
      </c>
      <c r="B81" s="50" t="s">
        <v>662</v>
      </c>
      <c r="C81" s="490">
        <v>20</v>
      </c>
      <c r="D81" s="227">
        <v>20</v>
      </c>
      <c r="E81" s="64">
        <v>20</v>
      </c>
      <c r="F81" s="64">
        <v>36.520000000000003</v>
      </c>
      <c r="G81" s="65">
        <f t="shared" si="51"/>
        <v>16.520000000000003</v>
      </c>
      <c r="H81" s="222">
        <f t="shared" si="44"/>
        <v>0.82600000000000018</v>
      </c>
      <c r="I81" s="964"/>
      <c r="J81" s="228">
        <v>20</v>
      </c>
      <c r="K81" s="668">
        <v>53.76</v>
      </c>
      <c r="L81" s="65">
        <f t="shared" si="45"/>
        <v>33.76</v>
      </c>
      <c r="M81" s="222">
        <f t="shared" si="46"/>
        <v>1.6879999999999999</v>
      </c>
      <c r="N81" s="626" t="s">
        <v>663</v>
      </c>
      <c r="O81" s="228">
        <v>20</v>
      </c>
      <c r="P81" s="736">
        <f>345/747*100</f>
        <v>46.184738955823299</v>
      </c>
      <c r="Q81" s="65">
        <f t="shared" si="47"/>
        <v>26.184738955823299</v>
      </c>
      <c r="R81" s="222">
        <f t="shared" si="48"/>
        <v>1.309236947791165</v>
      </c>
      <c r="S81" s="626" t="s">
        <v>663</v>
      </c>
      <c r="T81" s="228">
        <v>20</v>
      </c>
      <c r="U81" s="64">
        <v>47.12</v>
      </c>
      <c r="V81" s="65">
        <f t="shared" si="49"/>
        <v>27.119999999999997</v>
      </c>
      <c r="W81" s="222">
        <f t="shared" si="50"/>
        <v>1.3559999999999999</v>
      </c>
      <c r="X81" s="811" t="s">
        <v>663</v>
      </c>
    </row>
    <row r="82" spans="1:24" ht="34.5" customHeight="1" x14ac:dyDescent="0.25">
      <c r="A82" s="204" t="s">
        <v>664</v>
      </c>
      <c r="B82" s="50" t="s">
        <v>665</v>
      </c>
      <c r="C82" s="490">
        <v>40</v>
      </c>
      <c r="D82" s="227">
        <v>40</v>
      </c>
      <c r="E82" s="64">
        <v>40</v>
      </c>
      <c r="F82" s="64">
        <v>40</v>
      </c>
      <c r="G82" s="65">
        <f t="shared" si="51"/>
        <v>0</v>
      </c>
      <c r="H82" s="222">
        <f t="shared" si="44"/>
        <v>0</v>
      </c>
      <c r="I82" s="190"/>
      <c r="J82" s="228">
        <v>40</v>
      </c>
      <c r="K82" s="668">
        <v>40</v>
      </c>
      <c r="L82" s="65">
        <f t="shared" si="45"/>
        <v>0</v>
      </c>
      <c r="M82" s="222">
        <f t="shared" si="46"/>
        <v>0</v>
      </c>
      <c r="N82" s="190"/>
      <c r="O82" s="228">
        <v>40</v>
      </c>
      <c r="P82" s="64">
        <v>40</v>
      </c>
      <c r="Q82" s="65">
        <f t="shared" si="47"/>
        <v>0</v>
      </c>
      <c r="R82" s="222">
        <f>IFERROR(Q82/ABS(O82), "-")</f>
        <v>0</v>
      </c>
      <c r="S82" s="190"/>
      <c r="T82" s="228">
        <v>40</v>
      </c>
      <c r="U82" s="64">
        <v>40</v>
      </c>
      <c r="V82" s="65">
        <f t="shared" si="49"/>
        <v>0</v>
      </c>
      <c r="W82" s="222">
        <f t="shared" si="50"/>
        <v>0</v>
      </c>
      <c r="X82" s="805"/>
    </row>
    <row r="83" spans="1:24" ht="18" customHeight="1" x14ac:dyDescent="0.25">
      <c r="A83" s="280" t="s">
        <v>666</v>
      </c>
      <c r="B83" s="281" t="s">
        <v>667</v>
      </c>
      <c r="C83" s="488" t="s">
        <v>497</v>
      </c>
      <c r="D83" s="275" t="s">
        <v>497</v>
      </c>
      <c r="E83" s="275" t="s">
        <v>497</v>
      </c>
      <c r="F83" s="276" t="s">
        <v>497</v>
      </c>
      <c r="G83" s="276" t="s">
        <v>497</v>
      </c>
      <c r="H83" s="277" t="s">
        <v>497</v>
      </c>
      <c r="I83" s="277" t="s">
        <v>497</v>
      </c>
      <c r="J83" s="275" t="s">
        <v>497</v>
      </c>
      <c r="K83" s="276" t="s">
        <v>497</v>
      </c>
      <c r="L83" s="276" t="s">
        <v>497</v>
      </c>
      <c r="M83" s="277" t="s">
        <v>497</v>
      </c>
      <c r="N83" s="277" t="s">
        <v>497</v>
      </c>
      <c r="O83" s="275" t="s">
        <v>497</v>
      </c>
      <c r="P83" s="276" t="s">
        <v>497</v>
      </c>
      <c r="Q83" s="276" t="s">
        <v>497</v>
      </c>
      <c r="R83" s="277" t="s">
        <v>497</v>
      </c>
      <c r="S83" s="277" t="s">
        <v>497</v>
      </c>
      <c r="T83" s="275" t="s">
        <v>497</v>
      </c>
      <c r="U83" s="276" t="s">
        <v>497</v>
      </c>
      <c r="V83" s="276" t="s">
        <v>497</v>
      </c>
      <c r="W83" s="277" t="s">
        <v>497</v>
      </c>
      <c r="X83" s="801" t="s">
        <v>497</v>
      </c>
    </row>
    <row r="84" spans="1:24" ht="18" customHeight="1" x14ac:dyDescent="0.25">
      <c r="A84" s="210" t="s">
        <v>668</v>
      </c>
      <c r="B84" s="15" t="s">
        <v>669</v>
      </c>
      <c r="C84" s="510" t="s">
        <v>670</v>
      </c>
      <c r="D84" s="511" t="s">
        <v>670</v>
      </c>
      <c r="E84" s="511" t="s">
        <v>670</v>
      </c>
      <c r="F84" s="511" t="s">
        <v>670</v>
      </c>
      <c r="G84" s="512">
        <f>F84-E84</f>
        <v>0</v>
      </c>
      <c r="H84" s="513">
        <f t="shared" ref="H84:H89" si="52">IFERROR(G84/ABS(E84), "-")</f>
        <v>0</v>
      </c>
      <c r="I84" s="178"/>
      <c r="J84" s="665">
        <v>27434</v>
      </c>
      <c r="K84" s="665">
        <v>27434</v>
      </c>
      <c r="L84" s="512">
        <f t="shared" ref="L84:L85" si="53">K84-J84</f>
        <v>0</v>
      </c>
      <c r="M84" s="513">
        <f t="shared" ref="M84:M89" si="54">IFERROR(L84/ABS(J84), "-")</f>
        <v>0</v>
      </c>
      <c r="N84" s="178"/>
      <c r="O84" s="511" t="s">
        <v>670</v>
      </c>
      <c r="P84" s="511" t="s">
        <v>670</v>
      </c>
      <c r="Q84" s="512">
        <f t="shared" ref="Q84:Q89" si="55">P84-O84</f>
        <v>0</v>
      </c>
      <c r="R84" s="513">
        <f>IFERROR(Q84/ABS(O84), "-")</f>
        <v>0</v>
      </c>
      <c r="S84" s="178"/>
      <c r="T84" s="511" t="s">
        <v>670</v>
      </c>
      <c r="U84" s="81">
        <v>27434</v>
      </c>
      <c r="V84" s="82">
        <f t="shared" ref="V84:V89" si="56">U84-T84</f>
        <v>0</v>
      </c>
      <c r="W84" s="72">
        <f t="shared" ref="W84:W89" si="57">IFERROR(V84/ABS(T84), "-")</f>
        <v>0</v>
      </c>
      <c r="X84" s="806"/>
    </row>
    <row r="85" spans="1:24" ht="18" customHeight="1" x14ac:dyDescent="0.25">
      <c r="A85" s="210" t="s">
        <v>671</v>
      </c>
      <c r="B85" s="229" t="s">
        <v>672</v>
      </c>
      <c r="C85" s="510" t="s">
        <v>673</v>
      </c>
      <c r="D85" s="510" t="s">
        <v>673</v>
      </c>
      <c r="E85" s="510" t="s">
        <v>673</v>
      </c>
      <c r="F85" s="510" t="s">
        <v>673</v>
      </c>
      <c r="G85" s="512" t="s">
        <v>75</v>
      </c>
      <c r="H85" s="513" t="str">
        <f t="shared" si="52"/>
        <v>-</v>
      </c>
      <c r="I85" s="514"/>
      <c r="J85" s="628">
        <v>8230</v>
      </c>
      <c r="K85" s="628">
        <v>8230</v>
      </c>
      <c r="L85" s="512">
        <f t="shared" si="53"/>
        <v>0</v>
      </c>
      <c r="M85" s="513">
        <f t="shared" si="54"/>
        <v>0</v>
      </c>
      <c r="N85" s="514"/>
      <c r="O85" s="510" t="s">
        <v>673</v>
      </c>
      <c r="P85" s="510" t="s">
        <v>673</v>
      </c>
      <c r="Q85" s="512">
        <f t="shared" si="55"/>
        <v>0</v>
      </c>
      <c r="R85" s="513">
        <f t="shared" ref="R85:R89" si="58">IFERROR(Q85/ABS(O85), "-")</f>
        <v>0</v>
      </c>
      <c r="S85" s="514"/>
      <c r="T85" s="510" t="s">
        <v>673</v>
      </c>
      <c r="U85" s="81">
        <v>8230</v>
      </c>
      <c r="V85" s="82">
        <f t="shared" si="56"/>
        <v>0</v>
      </c>
      <c r="W85" s="72">
        <f t="shared" si="57"/>
        <v>0</v>
      </c>
      <c r="X85" s="806"/>
    </row>
    <row r="86" spans="1:24" ht="47.25" customHeight="1" x14ac:dyDescent="0.25">
      <c r="A86" s="210" t="s">
        <v>674</v>
      </c>
      <c r="B86" s="38" t="s">
        <v>675</v>
      </c>
      <c r="C86" s="509" t="s">
        <v>676</v>
      </c>
      <c r="D86" s="509" t="s">
        <v>676</v>
      </c>
      <c r="E86" s="509" t="s">
        <v>677</v>
      </c>
      <c r="F86" s="18">
        <v>1149500</v>
      </c>
      <c r="G86" s="512">
        <f t="shared" ref="G86:G89" si="59">F86-E86</f>
        <v>-256900</v>
      </c>
      <c r="H86" s="513">
        <f t="shared" si="52"/>
        <v>-0.18266496018202502</v>
      </c>
      <c r="I86" s="626" t="s">
        <v>678</v>
      </c>
      <c r="J86" s="628">
        <v>1843500</v>
      </c>
      <c r="K86" s="18">
        <v>1615900</v>
      </c>
      <c r="L86" s="512">
        <f>K86-J86</f>
        <v>-227600</v>
      </c>
      <c r="M86" s="513">
        <f t="shared" si="54"/>
        <v>-0.12346080824518579</v>
      </c>
      <c r="N86" s="514"/>
      <c r="O86" s="509" t="s">
        <v>679</v>
      </c>
      <c r="P86" s="18">
        <v>1795800</v>
      </c>
      <c r="Q86" s="512">
        <f t="shared" si="55"/>
        <v>-205000</v>
      </c>
      <c r="R86" s="513">
        <f>IFERROR(Q86/ABS(O86), "-")</f>
        <v>-0.10245901639344263</v>
      </c>
      <c r="S86" s="514"/>
      <c r="T86" s="509" t="s">
        <v>676</v>
      </c>
      <c r="U86" s="18">
        <v>2773930</v>
      </c>
      <c r="V86" s="82">
        <f t="shared" si="56"/>
        <v>-222070</v>
      </c>
      <c r="W86" s="72">
        <f t="shared" si="57"/>
        <v>-7.4122162883845127E-2</v>
      </c>
      <c r="X86" s="806"/>
    </row>
    <row r="87" spans="1:24" x14ac:dyDescent="0.25">
      <c r="A87" s="210" t="s">
        <v>680</v>
      </c>
      <c r="B87" s="38" t="s">
        <v>681</v>
      </c>
      <c r="C87" s="509" t="s">
        <v>682</v>
      </c>
      <c r="D87" s="509" t="s">
        <v>682</v>
      </c>
      <c r="E87" s="509" t="s">
        <v>683</v>
      </c>
      <c r="F87" s="18">
        <v>432331</v>
      </c>
      <c r="G87" s="512">
        <f>F87-E87</f>
        <v>-31056</v>
      </c>
      <c r="H87" s="513">
        <f>IFERROR(G87/ABS(E87), "-")</f>
        <v>-6.7019575430471726E-2</v>
      </c>
      <c r="I87" s="515"/>
      <c r="J87" s="628">
        <v>865803</v>
      </c>
      <c r="K87" s="18">
        <v>809145</v>
      </c>
      <c r="L87" s="512">
        <f t="shared" ref="L87:L89" si="60">K87-J87</f>
        <v>-56658</v>
      </c>
      <c r="M87" s="513">
        <f t="shared" si="54"/>
        <v>-6.543982869082228E-2</v>
      </c>
      <c r="N87" s="514"/>
      <c r="O87" s="509" t="s">
        <v>684</v>
      </c>
      <c r="P87" s="18">
        <v>1236985</v>
      </c>
      <c r="Q87" s="512">
        <f>P87-O87</f>
        <v>-39664</v>
      </c>
      <c r="R87" s="513">
        <f>IFERROR(Q87/ABS(O87), "-")</f>
        <v>-3.1068837245006264E-2</v>
      </c>
      <c r="S87" s="514"/>
      <c r="T87" s="509" t="s">
        <v>682</v>
      </c>
      <c r="U87" s="18">
        <v>1679898</v>
      </c>
      <c r="V87" s="82">
        <f t="shared" si="56"/>
        <v>-44178</v>
      </c>
      <c r="W87" s="72">
        <f t="shared" si="57"/>
        <v>-2.5624160419842282E-2</v>
      </c>
      <c r="X87" s="806"/>
    </row>
    <row r="88" spans="1:24" ht="18" customHeight="1" x14ac:dyDescent="0.25">
      <c r="A88" s="210" t="s">
        <v>685</v>
      </c>
      <c r="B88" s="38" t="s">
        <v>686</v>
      </c>
      <c r="C88" s="509" t="s">
        <v>687</v>
      </c>
      <c r="D88" s="509" t="s">
        <v>687</v>
      </c>
      <c r="E88" s="509" t="s">
        <v>688</v>
      </c>
      <c r="F88" s="18">
        <v>4205</v>
      </c>
      <c r="G88" s="512">
        <f t="shared" si="59"/>
        <v>-708</v>
      </c>
      <c r="H88" s="513">
        <f t="shared" si="52"/>
        <v>-0.14410746997761043</v>
      </c>
      <c r="I88" s="514"/>
      <c r="J88" s="628">
        <v>10001</v>
      </c>
      <c r="K88" s="18">
        <v>8499</v>
      </c>
      <c r="L88" s="512">
        <f t="shared" si="60"/>
        <v>-1502</v>
      </c>
      <c r="M88" s="513">
        <f t="shared" si="54"/>
        <v>-0.15018498150184981</v>
      </c>
      <c r="N88" s="514"/>
      <c r="O88" s="509" t="s">
        <v>689</v>
      </c>
      <c r="P88" s="18">
        <v>13251</v>
      </c>
      <c r="Q88" s="512">
        <f t="shared" si="55"/>
        <v>-2018</v>
      </c>
      <c r="R88" s="513">
        <f t="shared" si="58"/>
        <v>-0.13216320649682364</v>
      </c>
      <c r="S88" s="514"/>
      <c r="T88" s="509" t="s">
        <v>687</v>
      </c>
      <c r="U88" s="18">
        <v>18570</v>
      </c>
      <c r="V88" s="82">
        <f t="shared" si="56"/>
        <v>-1174</v>
      </c>
      <c r="W88" s="72">
        <f t="shared" si="57"/>
        <v>-5.9461102106969206E-2</v>
      </c>
      <c r="X88" s="806"/>
    </row>
    <row r="89" spans="1:24" ht="24.75" customHeight="1" x14ac:dyDescent="0.25">
      <c r="A89" s="210" t="s">
        <v>690</v>
      </c>
      <c r="B89" s="38" t="s">
        <v>691</v>
      </c>
      <c r="C89" s="503" t="s">
        <v>692</v>
      </c>
      <c r="D89" s="503" t="s">
        <v>692</v>
      </c>
      <c r="E89" s="509" t="s">
        <v>693</v>
      </c>
      <c r="F89" s="18">
        <v>4531.01</v>
      </c>
      <c r="G89" s="512">
        <f t="shared" si="59"/>
        <v>-707.98999999999978</v>
      </c>
      <c r="H89" s="513">
        <f t="shared" si="52"/>
        <v>-0.13513838518801294</v>
      </c>
      <c r="I89" s="514"/>
      <c r="J89" s="628">
        <v>10653</v>
      </c>
      <c r="K89" s="18">
        <v>9151</v>
      </c>
      <c r="L89" s="512">
        <f t="shared" si="60"/>
        <v>-1502</v>
      </c>
      <c r="M89" s="513">
        <f t="shared" si="54"/>
        <v>-0.1409931474701962</v>
      </c>
      <c r="N89" s="514"/>
      <c r="O89" s="509" t="s">
        <v>694</v>
      </c>
      <c r="P89" s="18">
        <v>14229</v>
      </c>
      <c r="Q89" s="512">
        <f t="shared" si="55"/>
        <v>-2018</v>
      </c>
      <c r="R89" s="513">
        <f t="shared" si="58"/>
        <v>-0.12420754600849387</v>
      </c>
      <c r="S89" s="514"/>
      <c r="T89" s="503" t="s">
        <v>692</v>
      </c>
      <c r="U89" s="207">
        <v>19874</v>
      </c>
      <c r="V89" s="65">
        <f t="shared" si="56"/>
        <v>-1174</v>
      </c>
      <c r="W89" s="61">
        <f t="shared" si="57"/>
        <v>-5.5777270999619918E-2</v>
      </c>
      <c r="X89" s="805"/>
    </row>
    <row r="90" spans="1:24" ht="18" customHeight="1" x14ac:dyDescent="0.25">
      <c r="A90" s="280" t="s">
        <v>695</v>
      </c>
      <c r="B90" s="284" t="s">
        <v>696</v>
      </c>
      <c r="C90" s="488" t="s">
        <v>497</v>
      </c>
      <c r="D90" s="275" t="s">
        <v>497</v>
      </c>
      <c r="E90" s="285" t="s">
        <v>497</v>
      </c>
      <c r="F90" s="285" t="s">
        <v>497</v>
      </c>
      <c r="G90" s="276" t="s">
        <v>497</v>
      </c>
      <c r="H90" s="286" t="s">
        <v>497</v>
      </c>
      <c r="I90" s="286" t="s">
        <v>497</v>
      </c>
      <c r="J90" s="285" t="s">
        <v>497</v>
      </c>
      <c r="K90" s="285" t="s">
        <v>497</v>
      </c>
      <c r="L90" s="276" t="s">
        <v>497</v>
      </c>
      <c r="M90" s="286" t="s">
        <v>497</v>
      </c>
      <c r="N90" s="286" t="s">
        <v>497</v>
      </c>
      <c r="O90" s="285" t="s">
        <v>497</v>
      </c>
      <c r="P90" s="285" t="s">
        <v>497</v>
      </c>
      <c r="Q90" s="276" t="s">
        <v>497</v>
      </c>
      <c r="R90" s="286" t="s">
        <v>497</v>
      </c>
      <c r="S90" s="286" t="s">
        <v>497</v>
      </c>
      <c r="T90" s="285" t="s">
        <v>497</v>
      </c>
      <c r="U90" s="285" t="s">
        <v>497</v>
      </c>
      <c r="V90" s="276" t="s">
        <v>497</v>
      </c>
      <c r="W90" s="286" t="s">
        <v>497</v>
      </c>
      <c r="X90" s="804" t="s">
        <v>497</v>
      </c>
    </row>
    <row r="91" spans="1:24" ht="36" customHeight="1" x14ac:dyDescent="0.25">
      <c r="A91" s="210" t="s">
        <v>697</v>
      </c>
      <c r="B91" s="38" t="s">
        <v>698</v>
      </c>
      <c r="C91" s="492" t="s">
        <v>513</v>
      </c>
      <c r="D91" s="178"/>
      <c r="E91" s="18"/>
      <c r="F91" s="18"/>
      <c r="G91" s="82"/>
      <c r="H91" s="72"/>
      <c r="I91" s="211"/>
      <c r="J91" s="18"/>
      <c r="K91" s="18"/>
      <c r="L91" s="82"/>
      <c r="M91" s="72"/>
      <c r="N91" s="211"/>
      <c r="O91" s="18"/>
      <c r="P91" s="18"/>
      <c r="Q91" s="82"/>
      <c r="R91" s="72"/>
      <c r="S91" s="211"/>
      <c r="T91" s="18"/>
      <c r="U91" s="18"/>
      <c r="V91" s="82">
        <f>U91-T91</f>
        <v>0</v>
      </c>
      <c r="W91" s="72" t="str">
        <f>IFERROR(V91/ABS(T91), "-")</f>
        <v>-</v>
      </c>
      <c r="X91" s="806"/>
    </row>
    <row r="92" spans="1:24" x14ac:dyDescent="0.25">
      <c r="A92" s="230"/>
      <c r="B92" s="180"/>
      <c r="C92" s="493"/>
      <c r="D92" s="181"/>
      <c r="E92" s="182"/>
      <c r="F92" s="182"/>
      <c r="G92" s="183"/>
      <c r="H92" s="184"/>
      <c r="I92" s="184"/>
      <c r="J92" s="182"/>
      <c r="K92" s="182"/>
      <c r="L92" s="183"/>
      <c r="M92" s="184"/>
      <c r="N92" s="184"/>
      <c r="O92" s="182"/>
      <c r="P92" s="182"/>
      <c r="Q92" s="183"/>
      <c r="R92" s="184"/>
      <c r="S92" s="184"/>
      <c r="T92" s="182"/>
      <c r="U92" s="182"/>
      <c r="V92" s="183"/>
      <c r="W92" s="184"/>
      <c r="X92" s="184"/>
    </row>
    <row r="93" spans="1:24" x14ac:dyDescent="0.25">
      <c r="A93" s="30" t="s">
        <v>290</v>
      </c>
      <c r="B93" s="180"/>
      <c r="C93" s="493"/>
      <c r="D93" s="181"/>
      <c r="E93" s="182"/>
      <c r="F93" s="182"/>
      <c r="G93" s="183"/>
      <c r="H93" s="184"/>
      <c r="I93" s="184"/>
      <c r="J93" s="182"/>
      <c r="K93" s="182"/>
      <c r="L93" s="183"/>
      <c r="M93" s="184"/>
      <c r="N93" s="184"/>
      <c r="O93" s="182"/>
      <c r="P93" s="182"/>
      <c r="Q93" s="183"/>
      <c r="R93" s="184"/>
      <c r="S93" s="184"/>
      <c r="T93" s="182"/>
      <c r="U93" s="182"/>
      <c r="V93" s="183"/>
      <c r="W93" s="184"/>
      <c r="X93" s="184"/>
    </row>
    <row r="94" spans="1:24" s="12" customFormat="1" ht="239.25" x14ac:dyDescent="0.25">
      <c r="A94" s="466" t="s">
        <v>699</v>
      </c>
      <c r="B94" s="466"/>
      <c r="C94" s="494"/>
      <c r="D94" s="466"/>
      <c r="E94" s="466"/>
      <c r="F94" s="466"/>
      <c r="G94" s="466"/>
      <c r="H94" s="466"/>
      <c r="I94" s="466"/>
      <c r="J94" s="231"/>
      <c r="K94" s="231"/>
      <c r="L94" s="231"/>
      <c r="M94" s="231"/>
      <c r="N94" s="231"/>
      <c r="O94" s="231"/>
      <c r="P94" s="231"/>
      <c r="Q94" s="231"/>
      <c r="R94" s="231"/>
      <c r="S94" s="231"/>
      <c r="T94" s="231"/>
      <c r="U94" s="231"/>
      <c r="V94" s="231"/>
      <c r="W94" s="231"/>
      <c r="X94" s="231"/>
    </row>
    <row r="95" spans="1:24" s="12" customFormat="1" ht="18.75" customHeight="1" x14ac:dyDescent="0.25">
      <c r="A95" s="466" t="s">
        <v>700</v>
      </c>
      <c r="B95" s="466"/>
      <c r="C95" s="494"/>
      <c r="D95" s="466"/>
      <c r="E95" s="466"/>
      <c r="F95" s="466"/>
      <c r="G95" s="466"/>
      <c r="H95" s="466"/>
      <c r="I95" s="466"/>
      <c r="J95" s="231"/>
      <c r="K95" s="231"/>
      <c r="L95" s="231"/>
      <c r="M95" s="231"/>
      <c r="N95" s="231"/>
      <c r="O95" s="231"/>
      <c r="P95" s="231"/>
      <c r="Q95" s="231"/>
      <c r="R95" s="231"/>
      <c r="S95" s="231"/>
      <c r="T95" s="231"/>
      <c r="U95" s="231"/>
      <c r="V95" s="231"/>
      <c r="W95" s="231"/>
      <c r="X95" s="231"/>
    </row>
    <row r="96" spans="1:24" s="12" customFormat="1" ht="18" customHeight="1" x14ac:dyDescent="0.25">
      <c r="A96" s="466" t="s">
        <v>701</v>
      </c>
      <c r="B96" s="466"/>
      <c r="C96" s="494"/>
      <c r="D96" s="466"/>
      <c r="E96" s="466"/>
      <c r="F96" s="466"/>
      <c r="G96" s="466"/>
      <c r="H96" s="466"/>
      <c r="I96" s="466"/>
      <c r="J96" s="231"/>
      <c r="K96" s="231"/>
      <c r="L96" s="231"/>
      <c r="M96" s="231"/>
      <c r="N96" s="231"/>
      <c r="O96" s="231"/>
      <c r="P96" s="231"/>
      <c r="Q96" s="231"/>
      <c r="R96" s="231"/>
      <c r="S96" s="231"/>
      <c r="T96" s="231"/>
      <c r="U96" s="231"/>
      <c r="V96" s="231"/>
      <c r="W96" s="231"/>
      <c r="X96" s="231"/>
    </row>
    <row r="97" spans="1:24" s="12" customFormat="1" ht="409.5" x14ac:dyDescent="0.25">
      <c r="A97" s="466" t="s">
        <v>702</v>
      </c>
      <c r="B97" s="466"/>
      <c r="C97" s="494"/>
      <c r="D97" s="466"/>
      <c r="E97" s="466"/>
      <c r="F97" s="466"/>
      <c r="G97" s="466"/>
      <c r="H97" s="466"/>
      <c r="I97" s="466"/>
      <c r="J97" s="231"/>
      <c r="K97" s="231"/>
      <c r="L97" s="231"/>
      <c r="M97" s="231"/>
      <c r="N97" s="231"/>
      <c r="O97" s="231"/>
      <c r="P97" s="231"/>
      <c r="Q97" s="231"/>
      <c r="R97" s="231"/>
      <c r="S97" s="231"/>
      <c r="T97" s="231"/>
      <c r="U97" s="231"/>
      <c r="V97" s="231"/>
      <c r="W97" s="231"/>
      <c r="X97" s="231"/>
    </row>
    <row r="98" spans="1:24" s="12" customFormat="1" ht="18" customHeight="1" x14ac:dyDescent="0.25">
      <c r="A98" s="466" t="s">
        <v>703</v>
      </c>
      <c r="B98" s="466"/>
      <c r="C98" s="494"/>
      <c r="D98" s="466"/>
      <c r="E98" s="466"/>
      <c r="F98" s="466"/>
      <c r="G98" s="466"/>
      <c r="H98" s="466"/>
      <c r="I98" s="466"/>
      <c r="J98" s="231"/>
      <c r="K98" s="231"/>
      <c r="L98" s="231"/>
      <c r="M98" s="231"/>
      <c r="N98" s="231"/>
      <c r="O98" s="231"/>
      <c r="P98" s="231"/>
      <c r="Q98" s="231"/>
      <c r="R98" s="231"/>
      <c r="S98" s="231"/>
      <c r="T98" s="231"/>
      <c r="U98" s="231"/>
      <c r="V98" s="231"/>
      <c r="W98" s="231"/>
      <c r="X98" s="231"/>
    </row>
    <row r="99" spans="1:24" s="12" customFormat="1" ht="409.5" x14ac:dyDescent="0.25">
      <c r="A99" s="756" t="s">
        <v>704</v>
      </c>
      <c r="B99" s="466"/>
      <c r="C99" s="494"/>
      <c r="D99" s="466"/>
      <c r="E99" s="466"/>
      <c r="F99" s="466"/>
      <c r="G99" s="466"/>
      <c r="H99" s="466"/>
      <c r="I99" s="466"/>
      <c r="J99" s="231"/>
      <c r="K99" s="231"/>
      <c r="L99" s="231"/>
      <c r="M99" s="231"/>
      <c r="N99" s="231"/>
      <c r="O99" s="231"/>
      <c r="P99" s="231"/>
      <c r="Q99" s="231"/>
      <c r="R99" s="231"/>
      <c r="S99" s="231"/>
      <c r="T99" s="231"/>
      <c r="U99" s="231"/>
      <c r="V99" s="231"/>
      <c r="W99" s="231"/>
      <c r="X99" s="231"/>
    </row>
    <row r="100" spans="1:24" s="12" customFormat="1" ht="207.75" customHeight="1" x14ac:dyDescent="0.25">
      <c r="A100" s="466" t="s">
        <v>705</v>
      </c>
      <c r="B100" s="466"/>
      <c r="C100" s="494"/>
      <c r="D100" s="466"/>
      <c r="E100" s="466"/>
      <c r="F100" s="466"/>
      <c r="G100" s="466"/>
      <c r="H100" s="466"/>
      <c r="I100" s="466"/>
      <c r="J100" s="231"/>
      <c r="K100" s="231"/>
      <c r="L100" s="231"/>
      <c r="M100" s="231"/>
      <c r="N100" s="231"/>
      <c r="O100" s="231"/>
      <c r="P100" s="231"/>
      <c r="Q100" s="231"/>
      <c r="R100" s="231"/>
      <c r="S100" s="231"/>
      <c r="T100" s="231"/>
      <c r="U100" s="231"/>
      <c r="V100" s="231"/>
      <c r="W100" s="231"/>
      <c r="X100" s="231"/>
    </row>
    <row r="101" spans="1:24" s="12" customFormat="1" x14ac:dyDescent="0.25">
      <c r="A101" s="467" t="s">
        <v>706</v>
      </c>
      <c r="B101" s="467"/>
      <c r="C101" s="494"/>
      <c r="D101" s="467"/>
      <c r="E101" s="467"/>
      <c r="F101" s="467"/>
      <c r="G101" s="467"/>
      <c r="H101" s="467"/>
      <c r="I101" s="467"/>
      <c r="J101" s="231"/>
      <c r="K101" s="231"/>
      <c r="L101" s="231"/>
      <c r="M101" s="231"/>
      <c r="N101" s="231"/>
      <c r="O101" s="231"/>
      <c r="P101" s="231"/>
      <c r="Q101" s="231"/>
      <c r="R101" s="231"/>
      <c r="S101" s="231"/>
      <c r="T101" s="231"/>
      <c r="U101" s="231"/>
      <c r="V101" s="231"/>
      <c r="W101" s="231"/>
      <c r="X101" s="231"/>
    </row>
    <row r="102" spans="1:24" s="12" customFormat="1" ht="409.5" x14ac:dyDescent="0.25">
      <c r="A102" s="466" t="s">
        <v>707</v>
      </c>
      <c r="B102" s="466"/>
      <c r="C102" s="494"/>
      <c r="D102" s="466"/>
      <c r="E102" s="466"/>
      <c r="F102" s="466"/>
      <c r="G102" s="466"/>
      <c r="H102" s="466"/>
      <c r="I102" s="466"/>
      <c r="J102" s="231"/>
      <c r="K102" s="231"/>
      <c r="L102" s="231"/>
      <c r="M102" s="231"/>
      <c r="N102" s="231"/>
      <c r="O102" s="231"/>
      <c r="P102" s="231"/>
      <c r="Q102" s="231"/>
      <c r="R102" s="231"/>
      <c r="S102" s="231"/>
      <c r="T102" s="231"/>
      <c r="U102" s="231"/>
      <c r="V102" s="231"/>
      <c r="W102" s="231"/>
      <c r="X102" s="231"/>
    </row>
    <row r="103" spans="1:24" s="12" customFormat="1" ht="409.5" x14ac:dyDescent="0.25">
      <c r="A103" s="466" t="s">
        <v>708</v>
      </c>
      <c r="B103" s="466"/>
      <c r="C103" s="494"/>
      <c r="D103" s="466"/>
      <c r="E103" s="466"/>
      <c r="F103" s="466"/>
      <c r="G103" s="466"/>
      <c r="H103" s="466"/>
      <c r="I103" s="466"/>
      <c r="J103" s="231"/>
      <c r="K103" s="231"/>
      <c r="L103" s="231"/>
      <c r="M103" s="231"/>
      <c r="N103" s="231"/>
      <c r="O103" s="231"/>
      <c r="P103" s="231"/>
      <c r="Q103" s="231"/>
      <c r="R103" s="231"/>
      <c r="S103" s="231"/>
      <c r="T103" s="231"/>
      <c r="U103" s="231"/>
      <c r="V103" s="231"/>
      <c r="W103" s="231"/>
      <c r="X103" s="231"/>
    </row>
    <row r="104" spans="1:24" s="12" customFormat="1" ht="365.25" x14ac:dyDescent="0.25">
      <c r="A104" s="466" t="s">
        <v>709</v>
      </c>
      <c r="B104" s="466"/>
      <c r="C104" s="494"/>
      <c r="D104" s="466"/>
      <c r="E104" s="466"/>
      <c r="F104" s="466"/>
      <c r="G104" s="466"/>
      <c r="H104" s="466"/>
      <c r="I104" s="466"/>
      <c r="J104" s="231"/>
      <c r="K104" s="231"/>
      <c r="L104" s="231"/>
      <c r="M104" s="231"/>
      <c r="N104" s="231"/>
      <c r="O104" s="231"/>
      <c r="P104" s="231"/>
      <c r="Q104" s="231"/>
      <c r="R104" s="231"/>
      <c r="S104" s="231"/>
      <c r="T104" s="231"/>
      <c r="U104" s="231"/>
      <c r="V104" s="231"/>
      <c r="W104" s="231"/>
      <c r="X104" s="231"/>
    </row>
    <row r="105" spans="1:24" ht="270.75" x14ac:dyDescent="0.25">
      <c r="A105" s="153" t="s">
        <v>710</v>
      </c>
      <c r="B105" s="153"/>
      <c r="C105" s="493"/>
      <c r="D105" s="153"/>
      <c r="E105" s="153"/>
      <c r="F105" s="153"/>
      <c r="G105" s="153"/>
      <c r="H105" s="153"/>
      <c r="I105" s="153"/>
      <c r="J105" s="32"/>
      <c r="K105" s="32"/>
      <c r="L105" s="32"/>
      <c r="M105" s="48"/>
      <c r="N105" s="48"/>
      <c r="O105" s="32"/>
      <c r="P105" s="32"/>
      <c r="Q105" s="32"/>
      <c r="R105" s="48"/>
      <c r="S105" s="48"/>
      <c r="T105" s="32"/>
      <c r="U105" s="32"/>
      <c r="V105" s="32"/>
      <c r="W105" s="48"/>
      <c r="X105" s="48"/>
    </row>
  </sheetData>
  <sheetProtection formatColumns="0" formatRows="0"/>
  <mergeCells count="1">
    <mergeCell ref="I80:I81"/>
  </mergeCells>
  <pageMargins left="0.23622047244094491" right="0.23622047244094491" top="0.74803149606299213" bottom="0.74803149606299213" header="0.31496062992125984" footer="0.31496062992125984"/>
  <pageSetup paperSize="9" scale="82" fitToHeight="0" orientation="landscape" r:id="rId1"/>
  <headerFooter>
    <oddHeader xml:space="preserve">&amp;C&amp;"Times New Roman,Bold"&amp;14Naturālie rādītāji&amp;R&amp;"Times New Roman,Regular"&amp;14 5.pielikums
</oddHeader>
    <oddFooter>&amp;C&amp;"Times New Roman,Regular"&amp;12&amp;F &amp;A&amp;R&amp;"Times New Roman,Regular"&amp;12&amp;P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Y64"/>
  <sheetViews>
    <sheetView topLeftCell="K1" zoomScaleNormal="100" zoomScaleSheetLayoutView="100" workbookViewId="0">
      <pane ySplit="1" topLeftCell="A38" activePane="bottomLeft" state="frozen"/>
      <selection pane="bottomLeft" activeCell="Y67" sqref="Y67"/>
    </sheetView>
  </sheetViews>
  <sheetFormatPr defaultColWidth="7.7109375" defaultRowHeight="15.75" outlineLevelCol="1" x14ac:dyDescent="0.25"/>
  <cols>
    <col min="1" max="1" width="14.28515625" style="232" customWidth="1"/>
    <col min="2" max="2" width="36" style="232" customWidth="1"/>
    <col min="3" max="3" width="16.28515625" style="452" hidden="1" customWidth="1"/>
    <col min="4" max="4" width="14.85546875" style="452" hidden="1" customWidth="1"/>
    <col min="5" max="5" width="15.85546875" style="232" hidden="1" customWidth="1"/>
    <col min="6" max="6" width="15.85546875" style="452" hidden="1" customWidth="1" outlineLevel="1"/>
    <col min="7" max="7" width="19.42578125" style="232" hidden="1" customWidth="1" outlineLevel="1"/>
    <col min="8" max="8" width="17.85546875" style="232" hidden="1" customWidth="1" outlineLevel="1"/>
    <col min="9" max="9" width="34.42578125" style="232" hidden="1" customWidth="1" outlineLevel="1"/>
    <col min="10" max="10" width="15.7109375" style="232" hidden="1" customWidth="1" collapsed="1"/>
    <col min="11" max="11" width="17.28515625" style="452" hidden="1" customWidth="1" outlineLevel="1"/>
    <col min="12" max="12" width="18.28515625" style="232" hidden="1" customWidth="1" outlineLevel="1"/>
    <col min="13" max="13" width="18.5703125" style="232" hidden="1" customWidth="1" outlineLevel="1"/>
    <col min="14" max="14" width="34.42578125" style="232" hidden="1" customWidth="1" outlineLevel="1"/>
    <col min="15" max="15" width="20.28515625" style="232" hidden="1" customWidth="1" collapsed="1"/>
    <col min="16" max="16" width="17.42578125" style="232" hidden="1" customWidth="1" outlineLevel="1"/>
    <col min="17" max="17" width="18" style="232" hidden="1" customWidth="1" outlineLevel="1"/>
    <col min="18" max="18" width="17.42578125" style="232" hidden="1" customWidth="1" outlineLevel="1"/>
    <col min="19" max="19" width="34.42578125" style="232" hidden="1" customWidth="1" outlineLevel="1"/>
    <col min="20" max="20" width="17.5703125" style="232" customWidth="1" collapsed="1"/>
    <col min="21" max="21" width="17.28515625" style="232" customWidth="1" outlineLevel="1"/>
    <col min="22" max="22" width="18.5703125" style="232" customWidth="1" outlineLevel="1"/>
    <col min="23" max="23" width="17.28515625" style="232" customWidth="1" outlineLevel="1"/>
    <col min="24" max="24" width="34.42578125" style="232" customWidth="1" outlineLevel="1"/>
    <col min="25" max="25" width="34.42578125" style="232" customWidth="1"/>
    <col min="26" max="229" width="9.140625" style="232" customWidth="1"/>
    <col min="230" max="230" width="3.140625" style="232" customWidth="1"/>
    <col min="231" max="231" width="4.42578125" style="232" customWidth="1"/>
    <col min="232" max="232" width="26" style="232" customWidth="1"/>
    <col min="233" max="233" width="8.7109375" style="232" customWidth="1"/>
    <col min="234" max="235" width="7.7109375" style="232"/>
    <col min="236" max="236" width="8.7109375" style="232" customWidth="1"/>
    <col min="237" max="238" width="7.7109375" style="232"/>
    <col min="239" max="239" width="8.7109375" style="232" customWidth="1"/>
    <col min="240" max="16384" width="7.7109375" style="232"/>
  </cols>
  <sheetData>
    <row r="1" spans="1:24" ht="78.75" x14ac:dyDescent="0.25">
      <c r="A1" s="79" t="s">
        <v>0</v>
      </c>
      <c r="B1" s="169" t="s">
        <v>297</v>
      </c>
      <c r="C1" s="448" t="s">
        <v>2</v>
      </c>
      <c r="D1" s="448" t="s">
        <v>3</v>
      </c>
      <c r="E1" s="24" t="s">
        <v>4</v>
      </c>
      <c r="F1" s="448" t="s">
        <v>5</v>
      </c>
      <c r="G1" s="25" t="s">
        <v>6</v>
      </c>
      <c r="H1" s="26" t="s">
        <v>7</v>
      </c>
      <c r="I1" s="24" t="s">
        <v>8</v>
      </c>
      <c r="J1" s="24" t="s">
        <v>9</v>
      </c>
      <c r="K1" s="448" t="s">
        <v>10</v>
      </c>
      <c r="L1" s="25" t="s">
        <v>6</v>
      </c>
      <c r="M1" s="26" t="s">
        <v>7</v>
      </c>
      <c r="N1" s="24" t="s">
        <v>8</v>
      </c>
      <c r="O1" s="24" t="s">
        <v>11</v>
      </c>
      <c r="P1" s="24" t="s">
        <v>12</v>
      </c>
      <c r="Q1" s="25" t="s">
        <v>6</v>
      </c>
      <c r="R1" s="26" t="s">
        <v>7</v>
      </c>
      <c r="S1" s="24" t="s">
        <v>8</v>
      </c>
      <c r="T1" s="24" t="s">
        <v>13</v>
      </c>
      <c r="U1" s="24" t="s">
        <v>14</v>
      </c>
      <c r="V1" s="25" t="s">
        <v>6</v>
      </c>
      <c r="W1" s="26" t="s">
        <v>7</v>
      </c>
      <c r="X1" s="24" t="s">
        <v>8</v>
      </c>
    </row>
    <row r="2" spans="1:24" x14ac:dyDescent="0.25">
      <c r="A2" s="79">
        <v>1</v>
      </c>
      <c r="B2" s="169">
        <v>2</v>
      </c>
      <c r="C2" s="448">
        <v>3</v>
      </c>
      <c r="D2" s="448">
        <v>4</v>
      </c>
      <c r="E2" s="24">
        <v>5</v>
      </c>
      <c r="F2" s="448">
        <v>6</v>
      </c>
      <c r="G2" s="25">
        <v>7</v>
      </c>
      <c r="H2" s="27">
        <v>8</v>
      </c>
      <c r="I2" s="24"/>
      <c r="J2" s="24">
        <v>10</v>
      </c>
      <c r="K2" s="448">
        <v>11</v>
      </c>
      <c r="L2" s="25">
        <v>12</v>
      </c>
      <c r="M2" s="27">
        <v>13</v>
      </c>
      <c r="N2" s="24"/>
      <c r="O2" s="24">
        <v>15</v>
      </c>
      <c r="P2" s="24">
        <v>16</v>
      </c>
      <c r="Q2" s="25">
        <v>17</v>
      </c>
      <c r="R2" s="27">
        <v>18</v>
      </c>
      <c r="S2" s="24"/>
      <c r="T2" s="24">
        <v>20</v>
      </c>
      <c r="U2" s="24">
        <v>21</v>
      </c>
      <c r="V2" s="25">
        <v>22</v>
      </c>
      <c r="W2" s="27">
        <v>23</v>
      </c>
      <c r="X2" s="24"/>
    </row>
    <row r="3" spans="1:24" ht="15.75" customHeight="1" x14ac:dyDescent="0.25">
      <c r="A3" s="156">
        <v>51000</v>
      </c>
      <c r="B3" s="150" t="s">
        <v>711</v>
      </c>
      <c r="C3" s="449">
        <v>314600</v>
      </c>
      <c r="D3" s="449">
        <f>D4+D5+D6+D7</f>
        <v>0</v>
      </c>
      <c r="E3" s="93">
        <f>E4+E5+E6+E7</f>
        <v>0</v>
      </c>
      <c r="F3" s="449">
        <f>F4+F5+F6+F7</f>
        <v>0</v>
      </c>
      <c r="G3" s="96">
        <f>F3-E3</f>
        <v>0</v>
      </c>
      <c r="H3" s="97" t="str">
        <f>IFERROR(G3/ABS(E3), "-")</f>
        <v>-</v>
      </c>
      <c r="I3" s="971"/>
      <c r="J3" s="93">
        <f>J4+J5+J6+J7</f>
        <v>0</v>
      </c>
      <c r="K3" s="449">
        <f>K4+K5+K6+K7</f>
        <v>0</v>
      </c>
      <c r="L3" s="96">
        <f>K3-J3</f>
        <v>0</v>
      </c>
      <c r="M3" s="97" t="str">
        <f>IFERROR(L3/ABS(J3), "-")</f>
        <v>-</v>
      </c>
      <c r="N3" s="971"/>
      <c r="O3" s="93">
        <f>O4+O5+O6+O7</f>
        <v>0</v>
      </c>
      <c r="P3" s="93">
        <f>P4+P5+P6+P7</f>
        <v>0</v>
      </c>
      <c r="Q3" s="96">
        <f>P3-O3</f>
        <v>0</v>
      </c>
      <c r="R3" s="97" t="str">
        <f>IFERROR(Q3/ABS(O3), "-")</f>
        <v>-</v>
      </c>
      <c r="S3" s="971"/>
      <c r="T3" s="93">
        <f>T4+T5+T6+T7</f>
        <v>0</v>
      </c>
      <c r="U3" s="93">
        <f>U4+U5+U6+U7</f>
        <v>0</v>
      </c>
      <c r="V3" s="96">
        <f>U3-T3</f>
        <v>0</v>
      </c>
      <c r="W3" s="97" t="str">
        <f>IFERROR(V3/ABS(T3), "-")</f>
        <v>-</v>
      </c>
      <c r="X3" s="971"/>
    </row>
    <row r="4" spans="1:24" x14ac:dyDescent="0.25">
      <c r="A4" s="79">
        <v>51100</v>
      </c>
      <c r="B4" s="170" t="s">
        <v>712</v>
      </c>
      <c r="C4" s="446"/>
      <c r="D4" s="446"/>
      <c r="E4" s="171"/>
      <c r="F4" s="446"/>
      <c r="G4" s="172">
        <f t="shared" ref="G4:G59" si="0">F4-E4</f>
        <v>0</v>
      </c>
      <c r="H4" s="173" t="str">
        <f t="shared" ref="H4:H59" si="1">IFERROR(G4/ABS(E4), "-")</f>
        <v>-</v>
      </c>
      <c r="I4" s="972"/>
      <c r="J4" s="171"/>
      <c r="K4" s="446"/>
      <c r="L4" s="172">
        <f t="shared" ref="L4:L59" si="2">K4-J4</f>
        <v>0</v>
      </c>
      <c r="M4" s="173" t="str">
        <f t="shared" ref="M4:M59" si="3">IFERROR(L4/ABS(J4), "-")</f>
        <v>-</v>
      </c>
      <c r="N4" s="972"/>
      <c r="O4" s="171"/>
      <c r="P4" s="171"/>
      <c r="Q4" s="172">
        <f t="shared" ref="Q4:Q59" si="4">P4-O4</f>
        <v>0</v>
      </c>
      <c r="R4" s="173" t="str">
        <f t="shared" ref="R4:R59" si="5">IFERROR(Q4/ABS(O4), "-")</f>
        <v>-</v>
      </c>
      <c r="S4" s="972"/>
      <c r="T4" s="171"/>
      <c r="U4" s="171"/>
      <c r="V4" s="172">
        <f t="shared" ref="V4:V59" si="6">U4-T4</f>
        <v>0</v>
      </c>
      <c r="W4" s="173" t="str">
        <f t="shared" ref="W4:W59" si="7">IFERROR(V4/ABS(T4), "-")</f>
        <v>-</v>
      </c>
      <c r="X4" s="972"/>
    </row>
    <row r="5" spans="1:24" x14ac:dyDescent="0.25">
      <c r="A5" s="174">
        <v>51200</v>
      </c>
      <c r="B5" s="175" t="s">
        <v>713</v>
      </c>
      <c r="C5" s="446"/>
      <c r="D5" s="446"/>
      <c r="E5" s="171"/>
      <c r="F5" s="446"/>
      <c r="G5" s="172">
        <f t="shared" si="0"/>
        <v>0</v>
      </c>
      <c r="H5" s="173" t="str">
        <f t="shared" si="1"/>
        <v>-</v>
      </c>
      <c r="I5" s="972"/>
      <c r="J5" s="171"/>
      <c r="K5" s="446"/>
      <c r="L5" s="172">
        <f t="shared" si="2"/>
        <v>0</v>
      </c>
      <c r="M5" s="173" t="str">
        <f t="shared" si="3"/>
        <v>-</v>
      </c>
      <c r="N5" s="972"/>
      <c r="O5" s="171"/>
      <c r="P5" s="171"/>
      <c r="Q5" s="172">
        <f t="shared" si="4"/>
        <v>0</v>
      </c>
      <c r="R5" s="173" t="str">
        <f t="shared" si="5"/>
        <v>-</v>
      </c>
      <c r="S5" s="972"/>
      <c r="T5" s="171"/>
      <c r="U5" s="171"/>
      <c r="V5" s="172">
        <f t="shared" si="6"/>
        <v>0</v>
      </c>
      <c r="W5" s="173" t="str">
        <f t="shared" si="7"/>
        <v>-</v>
      </c>
      <c r="X5" s="972"/>
    </row>
    <row r="6" spans="1:24" ht="41.25" customHeight="1" x14ac:dyDescent="0.25">
      <c r="A6" s="174">
        <v>51300</v>
      </c>
      <c r="B6" s="175" t="s">
        <v>714</v>
      </c>
      <c r="C6" s="446"/>
      <c r="D6" s="446"/>
      <c r="E6" s="171"/>
      <c r="F6" s="446"/>
      <c r="G6" s="172">
        <f t="shared" si="0"/>
        <v>0</v>
      </c>
      <c r="H6" s="173" t="str">
        <f t="shared" si="1"/>
        <v>-</v>
      </c>
      <c r="I6" s="972"/>
      <c r="J6" s="171"/>
      <c r="K6" s="446"/>
      <c r="L6" s="172">
        <f t="shared" si="2"/>
        <v>0</v>
      </c>
      <c r="M6" s="173" t="str">
        <f t="shared" si="3"/>
        <v>-</v>
      </c>
      <c r="N6" s="972"/>
      <c r="O6" s="171"/>
      <c r="P6" s="171"/>
      <c r="Q6" s="172">
        <f t="shared" si="4"/>
        <v>0</v>
      </c>
      <c r="R6" s="173" t="str">
        <f t="shared" si="5"/>
        <v>-</v>
      </c>
      <c r="S6" s="972"/>
      <c r="T6" s="171"/>
      <c r="U6" s="171"/>
      <c r="V6" s="172">
        <f t="shared" si="6"/>
        <v>0</v>
      </c>
      <c r="W6" s="173" t="str">
        <f t="shared" si="7"/>
        <v>-</v>
      </c>
      <c r="X6" s="972"/>
    </row>
    <row r="7" spans="1:24" x14ac:dyDescent="0.25">
      <c r="A7" s="174">
        <v>51400</v>
      </c>
      <c r="B7" s="175" t="s">
        <v>715</v>
      </c>
      <c r="C7" s="446"/>
      <c r="D7" s="446"/>
      <c r="E7" s="171"/>
      <c r="F7" s="446"/>
      <c r="G7" s="172">
        <f t="shared" si="0"/>
        <v>0</v>
      </c>
      <c r="H7" s="173" t="str">
        <f t="shared" si="1"/>
        <v>-</v>
      </c>
      <c r="I7" s="972"/>
      <c r="J7" s="171"/>
      <c r="K7" s="446"/>
      <c r="L7" s="172">
        <f t="shared" si="2"/>
        <v>0</v>
      </c>
      <c r="M7" s="173" t="str">
        <f t="shared" si="3"/>
        <v>-</v>
      </c>
      <c r="N7" s="972"/>
      <c r="O7" s="171"/>
      <c r="P7" s="171"/>
      <c r="Q7" s="172">
        <f t="shared" si="4"/>
        <v>0</v>
      </c>
      <c r="R7" s="173" t="str">
        <f t="shared" si="5"/>
        <v>-</v>
      </c>
      <c r="S7" s="972"/>
      <c r="T7" s="171"/>
      <c r="U7" s="171"/>
      <c r="V7" s="172">
        <f t="shared" si="6"/>
        <v>0</v>
      </c>
      <c r="W7" s="173" t="str">
        <f t="shared" si="7"/>
        <v>-</v>
      </c>
      <c r="X7" s="972"/>
    </row>
    <row r="8" spans="1:24" ht="15.75" customHeight="1" x14ac:dyDescent="0.25">
      <c r="A8" s="156">
        <v>52000</v>
      </c>
      <c r="B8" s="150" t="s">
        <v>716</v>
      </c>
      <c r="C8" s="449"/>
      <c r="D8" s="449">
        <v>159130</v>
      </c>
      <c r="E8" s="93">
        <f ca="1">SUM(OFFSET(E16,-1,0):OFFSET(E8,1,0))</f>
        <v>0</v>
      </c>
      <c r="F8" s="449">
        <f ca="1">SUM(OFFSET(F16,-1,0):OFFSET(F8,1,0))</f>
        <v>0</v>
      </c>
      <c r="G8" s="96">
        <f t="shared" ca="1" si="0"/>
        <v>0</v>
      </c>
      <c r="H8" s="97" t="str">
        <f t="shared" ca="1" si="1"/>
        <v>-</v>
      </c>
      <c r="I8" s="973"/>
      <c r="J8" s="93">
        <v>159130</v>
      </c>
      <c r="K8" s="449">
        <f ca="1">SUM(OFFSET(K16,-1,0):OFFSET(K8,1,0))</f>
        <v>0</v>
      </c>
      <c r="L8" s="96">
        <f t="shared" ca="1" si="2"/>
        <v>-159130</v>
      </c>
      <c r="M8" s="97">
        <f t="shared" ca="1" si="3"/>
        <v>-1</v>
      </c>
      <c r="N8" s="976" t="s">
        <v>717</v>
      </c>
      <c r="O8" s="93">
        <v>159130</v>
      </c>
      <c r="P8" s="93">
        <f ca="1">SUM(OFFSET(P16,-1,0):OFFSET(P8,1,0))</f>
        <v>0</v>
      </c>
      <c r="Q8" s="96">
        <f t="shared" ca="1" si="4"/>
        <v>-159130</v>
      </c>
      <c r="R8" s="97">
        <f t="shared" ca="1" si="5"/>
        <v>-1</v>
      </c>
      <c r="S8" s="976" t="s">
        <v>718</v>
      </c>
      <c r="T8" s="93">
        <v>159130</v>
      </c>
      <c r="U8" s="93">
        <f ca="1">SUM(OFFSET(U16,-1,0):OFFSET(U8,1,0))</f>
        <v>130367</v>
      </c>
      <c r="V8" s="96">
        <f t="shared" ca="1" si="6"/>
        <v>-28763</v>
      </c>
      <c r="W8" s="97">
        <f t="shared" ca="1" si="7"/>
        <v>-0.18075158675296926</v>
      </c>
      <c r="X8" s="976" t="s">
        <v>462</v>
      </c>
    </row>
    <row r="9" spans="1:24" x14ac:dyDescent="0.25">
      <c r="A9" s="176">
        <v>52100</v>
      </c>
      <c r="B9" s="177" t="s">
        <v>719</v>
      </c>
      <c r="C9" s="459"/>
      <c r="D9" s="459"/>
      <c r="E9" s="81"/>
      <c r="F9" s="450"/>
      <c r="G9" s="82">
        <f t="shared" si="0"/>
        <v>0</v>
      </c>
      <c r="H9" s="28" t="str">
        <f t="shared" si="1"/>
        <v>-</v>
      </c>
      <c r="I9" s="974"/>
      <c r="J9" s="81"/>
      <c r="K9" s="450">
        <f>F9</f>
        <v>0</v>
      </c>
      <c r="L9" s="82">
        <f t="shared" si="2"/>
        <v>0</v>
      </c>
      <c r="M9" s="28" t="str">
        <f t="shared" si="3"/>
        <v>-</v>
      </c>
      <c r="N9" s="977"/>
      <c r="O9" s="81"/>
      <c r="P9" s="81"/>
      <c r="Q9" s="82">
        <f t="shared" si="4"/>
        <v>0</v>
      </c>
      <c r="R9" s="28" t="str">
        <f t="shared" si="5"/>
        <v>-</v>
      </c>
      <c r="S9" s="977"/>
      <c r="T9" s="81"/>
      <c r="U9" s="81">
        <v>130367</v>
      </c>
      <c r="V9" s="82">
        <f t="shared" si="6"/>
        <v>130367</v>
      </c>
      <c r="W9" s="28" t="str">
        <f t="shared" si="7"/>
        <v>-</v>
      </c>
      <c r="X9" s="977"/>
    </row>
    <row r="10" spans="1:24" x14ac:dyDescent="0.25">
      <c r="A10" s="176">
        <v>52200</v>
      </c>
      <c r="B10" s="177" t="s">
        <v>720</v>
      </c>
      <c r="C10" s="459"/>
      <c r="D10" s="459"/>
      <c r="E10" s="81"/>
      <c r="F10" s="450"/>
      <c r="G10" s="82">
        <f t="shared" si="0"/>
        <v>0</v>
      </c>
      <c r="H10" s="28" t="str">
        <f t="shared" si="1"/>
        <v>-</v>
      </c>
      <c r="I10" s="974"/>
      <c r="J10" s="81"/>
      <c r="K10" s="450">
        <f>F10</f>
        <v>0</v>
      </c>
      <c r="L10" s="82">
        <f t="shared" si="2"/>
        <v>0</v>
      </c>
      <c r="M10" s="28" t="str">
        <f t="shared" si="3"/>
        <v>-</v>
      </c>
      <c r="N10" s="977"/>
      <c r="O10" s="81"/>
      <c r="P10" s="81"/>
      <c r="Q10" s="82">
        <f t="shared" si="4"/>
        <v>0</v>
      </c>
      <c r="R10" s="28" t="str">
        <f t="shared" si="5"/>
        <v>-</v>
      </c>
      <c r="S10" s="977"/>
      <c r="T10" s="81"/>
      <c r="U10" s="81"/>
      <c r="V10" s="82">
        <f t="shared" si="6"/>
        <v>0</v>
      </c>
      <c r="W10" s="28" t="str">
        <f t="shared" si="7"/>
        <v>-</v>
      </c>
      <c r="X10" s="977"/>
    </row>
    <row r="11" spans="1:24" x14ac:dyDescent="0.25">
      <c r="A11" s="176">
        <v>52300</v>
      </c>
      <c r="B11" s="179" t="s">
        <v>721</v>
      </c>
      <c r="C11" s="459"/>
      <c r="D11" s="459"/>
      <c r="E11" s="81"/>
      <c r="F11" s="450"/>
      <c r="G11" s="82">
        <f t="shared" si="0"/>
        <v>0</v>
      </c>
      <c r="H11" s="28" t="str">
        <f t="shared" si="1"/>
        <v>-</v>
      </c>
      <c r="I11" s="974"/>
      <c r="J11" s="81"/>
      <c r="K11" s="450"/>
      <c r="L11" s="82">
        <f t="shared" si="2"/>
        <v>0</v>
      </c>
      <c r="M11" s="28" t="str">
        <f t="shared" si="3"/>
        <v>-</v>
      </c>
      <c r="N11" s="977"/>
      <c r="O11" s="81"/>
      <c r="P11" s="81"/>
      <c r="Q11" s="82">
        <f t="shared" si="4"/>
        <v>0</v>
      </c>
      <c r="R11" s="28" t="str">
        <f t="shared" si="5"/>
        <v>-</v>
      </c>
      <c r="S11" s="977"/>
      <c r="T11" s="81"/>
      <c r="U11" s="81"/>
      <c r="V11" s="82">
        <f t="shared" si="6"/>
        <v>0</v>
      </c>
      <c r="W11" s="28" t="str">
        <f t="shared" si="7"/>
        <v>-</v>
      </c>
      <c r="X11" s="977"/>
    </row>
    <row r="12" spans="1:24" x14ac:dyDescent="0.25">
      <c r="A12" s="638">
        <v>52400</v>
      </c>
      <c r="B12" s="642" t="s">
        <v>722</v>
      </c>
      <c r="C12" s="459"/>
      <c r="D12" s="459"/>
      <c r="E12" s="81"/>
      <c r="F12" s="450"/>
      <c r="G12" s="82">
        <f t="shared" si="0"/>
        <v>0</v>
      </c>
      <c r="H12" s="28" t="str">
        <f t="shared" si="1"/>
        <v>-</v>
      </c>
      <c r="I12" s="974"/>
      <c r="J12" s="81"/>
      <c r="K12" s="450"/>
      <c r="L12" s="82">
        <f t="shared" si="2"/>
        <v>0</v>
      </c>
      <c r="M12" s="28" t="str">
        <f t="shared" si="3"/>
        <v>-</v>
      </c>
      <c r="N12" s="977"/>
      <c r="O12" s="81"/>
      <c r="P12" s="81"/>
      <c r="Q12" s="82">
        <f t="shared" si="4"/>
        <v>0</v>
      </c>
      <c r="R12" s="28" t="str">
        <f t="shared" si="5"/>
        <v>-</v>
      </c>
      <c r="S12" s="977"/>
      <c r="T12" s="81"/>
      <c r="U12" s="81"/>
      <c r="V12" s="82">
        <f t="shared" si="6"/>
        <v>0</v>
      </c>
      <c r="W12" s="28" t="str">
        <f t="shared" si="7"/>
        <v>-</v>
      </c>
      <c r="X12" s="977"/>
    </row>
    <row r="13" spans="1:24" x14ac:dyDescent="0.25">
      <c r="A13" s="638">
        <v>52500</v>
      </c>
      <c r="B13" s="642" t="s">
        <v>723</v>
      </c>
      <c r="C13" s="459"/>
      <c r="D13" s="459"/>
      <c r="E13" s="81"/>
      <c r="F13" s="450"/>
      <c r="G13" s="82">
        <f t="shared" si="0"/>
        <v>0</v>
      </c>
      <c r="H13" s="28" t="str">
        <f t="shared" si="1"/>
        <v>-</v>
      </c>
      <c r="I13" s="974"/>
      <c r="J13" s="81"/>
      <c r="K13" s="450"/>
      <c r="L13" s="82">
        <f t="shared" si="2"/>
        <v>0</v>
      </c>
      <c r="M13" s="28" t="str">
        <f t="shared" si="3"/>
        <v>-</v>
      </c>
      <c r="N13" s="977"/>
      <c r="O13" s="81"/>
      <c r="P13" s="81"/>
      <c r="Q13" s="82">
        <f t="shared" si="4"/>
        <v>0</v>
      </c>
      <c r="R13" s="28" t="str">
        <f t="shared" si="5"/>
        <v>-</v>
      </c>
      <c r="S13" s="977"/>
      <c r="T13" s="81"/>
      <c r="U13" s="81"/>
      <c r="V13" s="82">
        <f t="shared" si="6"/>
        <v>0</v>
      </c>
      <c r="W13" s="28" t="str">
        <f t="shared" si="7"/>
        <v>-</v>
      </c>
      <c r="X13" s="977"/>
    </row>
    <row r="14" spans="1:24" x14ac:dyDescent="0.25">
      <c r="A14" s="638">
        <v>52600</v>
      </c>
      <c r="B14" s="642" t="s">
        <v>724</v>
      </c>
      <c r="C14" s="459"/>
      <c r="D14" s="459"/>
      <c r="E14" s="81"/>
      <c r="F14" s="450"/>
      <c r="G14" s="82">
        <f t="shared" si="0"/>
        <v>0</v>
      </c>
      <c r="H14" s="28" t="str">
        <f t="shared" si="1"/>
        <v>-</v>
      </c>
      <c r="I14" s="974"/>
      <c r="J14" s="81"/>
      <c r="K14" s="450"/>
      <c r="L14" s="82">
        <f t="shared" si="2"/>
        <v>0</v>
      </c>
      <c r="M14" s="28" t="str">
        <f t="shared" si="3"/>
        <v>-</v>
      </c>
      <c r="N14" s="977"/>
      <c r="O14" s="81"/>
      <c r="P14" s="81"/>
      <c r="Q14" s="82">
        <f t="shared" si="4"/>
        <v>0</v>
      </c>
      <c r="R14" s="28" t="str">
        <f t="shared" si="5"/>
        <v>-</v>
      </c>
      <c r="S14" s="977"/>
      <c r="T14" s="81"/>
      <c r="U14" s="81"/>
      <c r="V14" s="82">
        <f t="shared" si="6"/>
        <v>0</v>
      </c>
      <c r="W14" s="28" t="str">
        <f t="shared" si="7"/>
        <v>-</v>
      </c>
      <c r="X14" s="977"/>
    </row>
    <row r="15" spans="1:24" x14ac:dyDescent="0.25">
      <c r="A15" s="639">
        <v>52700</v>
      </c>
      <c r="B15" s="642" t="s">
        <v>725</v>
      </c>
      <c r="C15" s="459"/>
      <c r="D15" s="459"/>
      <c r="E15" s="81"/>
      <c r="F15" s="450"/>
      <c r="G15" s="82">
        <f t="shared" si="0"/>
        <v>0</v>
      </c>
      <c r="H15" s="28" t="str">
        <f t="shared" si="1"/>
        <v>-</v>
      </c>
      <c r="I15" s="975"/>
      <c r="J15" s="81"/>
      <c r="K15" s="450"/>
      <c r="L15" s="82">
        <f t="shared" si="2"/>
        <v>0</v>
      </c>
      <c r="M15" s="28" t="str">
        <f t="shared" si="3"/>
        <v>-</v>
      </c>
      <c r="N15" s="978"/>
      <c r="O15" s="81"/>
      <c r="P15" s="81"/>
      <c r="Q15" s="82">
        <f t="shared" si="4"/>
        <v>0</v>
      </c>
      <c r="R15" s="28" t="str">
        <f t="shared" si="5"/>
        <v>-</v>
      </c>
      <c r="S15" s="978"/>
      <c r="T15" s="81"/>
      <c r="U15" s="81"/>
      <c r="V15" s="82">
        <f t="shared" si="6"/>
        <v>0</v>
      </c>
      <c r="W15" s="28" t="str">
        <f t="shared" si="7"/>
        <v>-</v>
      </c>
      <c r="X15" s="977"/>
    </row>
    <row r="16" spans="1:24" ht="77.25" customHeight="1" x14ac:dyDescent="0.25">
      <c r="A16" s="640">
        <v>53000</v>
      </c>
      <c r="B16" s="637" t="s">
        <v>726</v>
      </c>
      <c r="C16" s="449">
        <v>1593751</v>
      </c>
      <c r="D16" s="449">
        <v>860000</v>
      </c>
      <c r="E16" s="93">
        <v>344725</v>
      </c>
      <c r="F16" s="449">
        <f>F18+F41+F49</f>
        <v>261176</v>
      </c>
      <c r="G16" s="96">
        <f t="shared" si="0"/>
        <v>-83549</v>
      </c>
      <c r="H16" s="97">
        <f t="shared" si="1"/>
        <v>-0.24236420335049677</v>
      </c>
      <c r="I16" s="979" t="s">
        <v>727</v>
      </c>
      <c r="J16" s="93">
        <v>500000</v>
      </c>
      <c r="K16" s="449">
        <f>K17+K40+K41+K49+K57+K58</f>
        <v>891944</v>
      </c>
      <c r="L16" s="96">
        <f t="shared" si="2"/>
        <v>391944</v>
      </c>
      <c r="M16" s="97">
        <f t="shared" si="3"/>
        <v>0.78388800000000003</v>
      </c>
      <c r="N16" s="982" t="s">
        <v>728</v>
      </c>
      <c r="O16" s="93">
        <v>650000</v>
      </c>
      <c r="P16" s="93">
        <f>P17+P40+P41+P49+P57+P58</f>
        <v>1209249</v>
      </c>
      <c r="Q16" s="96">
        <f t="shared" si="4"/>
        <v>559249</v>
      </c>
      <c r="R16" s="97">
        <f t="shared" si="5"/>
        <v>0.86038307692307692</v>
      </c>
      <c r="S16" s="982" t="s">
        <v>457</v>
      </c>
      <c r="T16" s="93">
        <v>860000</v>
      </c>
      <c r="U16" s="93">
        <f>U17+U40+U41+U49+U57+U58</f>
        <v>1766102.53</v>
      </c>
      <c r="V16" s="96">
        <f t="shared" si="6"/>
        <v>906102.53</v>
      </c>
      <c r="W16" s="819">
        <f t="shared" si="7"/>
        <v>1.0536075930232558</v>
      </c>
      <c r="X16" s="968" t="s">
        <v>458</v>
      </c>
    </row>
    <row r="17" spans="1:24" x14ac:dyDescent="0.25">
      <c r="A17" s="641">
        <v>53100</v>
      </c>
      <c r="B17" s="643" t="s">
        <v>729</v>
      </c>
      <c r="C17" s="446"/>
      <c r="D17" s="446"/>
      <c r="E17" s="171"/>
      <c r="F17" s="447">
        <v>249946</v>
      </c>
      <c r="G17" s="172">
        <f t="shared" si="0"/>
        <v>249946</v>
      </c>
      <c r="H17" s="173" t="str">
        <f t="shared" si="1"/>
        <v>-</v>
      </c>
      <c r="I17" s="980"/>
      <c r="J17" s="171"/>
      <c r="K17" s="447">
        <f>K18+K38</f>
        <v>866656</v>
      </c>
      <c r="L17" s="172">
        <f t="shared" si="2"/>
        <v>866656</v>
      </c>
      <c r="M17" s="173" t="str">
        <f t="shared" si="3"/>
        <v>-</v>
      </c>
      <c r="N17" s="983"/>
      <c r="O17" s="171"/>
      <c r="P17" s="419">
        <f>P18+P38</f>
        <v>1183961</v>
      </c>
      <c r="Q17" s="172">
        <f t="shared" si="4"/>
        <v>1183961</v>
      </c>
      <c r="R17" s="173" t="str">
        <f t="shared" si="5"/>
        <v>-</v>
      </c>
      <c r="S17" s="983"/>
      <c r="T17" s="171"/>
      <c r="U17" s="419">
        <f>U18+U38</f>
        <v>1631618.17</v>
      </c>
      <c r="V17" s="172">
        <f t="shared" si="6"/>
        <v>1631618.17</v>
      </c>
      <c r="W17" s="826" t="str">
        <f t="shared" si="7"/>
        <v>-</v>
      </c>
      <c r="X17" s="969"/>
    </row>
    <row r="18" spans="1:24" x14ac:dyDescent="0.25">
      <c r="A18" s="638">
        <v>53110</v>
      </c>
      <c r="B18" s="642" t="s">
        <v>730</v>
      </c>
      <c r="C18" s="446"/>
      <c r="D18" s="446"/>
      <c r="E18" s="171"/>
      <c r="F18" s="446">
        <f>F19+F20+F21+F22+F23+F24+F25+F37</f>
        <v>249946</v>
      </c>
      <c r="G18" s="172">
        <f t="shared" si="0"/>
        <v>249946</v>
      </c>
      <c r="H18" s="173" t="str">
        <f t="shared" si="1"/>
        <v>-</v>
      </c>
      <c r="I18" s="980"/>
      <c r="J18" s="171"/>
      <c r="K18" s="446">
        <f>K19+K20+K21+K22+K23+K24+K25+K37+K26+K27+K28+K29</f>
        <v>866656</v>
      </c>
      <c r="L18" s="172">
        <f t="shared" si="2"/>
        <v>866656</v>
      </c>
      <c r="M18" s="173" t="str">
        <f t="shared" si="3"/>
        <v>-</v>
      </c>
      <c r="N18" s="983"/>
      <c r="O18" s="171"/>
      <c r="P18" s="171">
        <f>P19+P20+P21+P22+P23+P24+P25+P26+P27+P28+P29+P37+P32</f>
        <v>1135748</v>
      </c>
      <c r="Q18" s="172">
        <f t="shared" si="4"/>
        <v>1135748</v>
      </c>
      <c r="R18" s="173" t="str">
        <f t="shared" si="5"/>
        <v>-</v>
      </c>
      <c r="S18" s="983"/>
      <c r="T18" s="171"/>
      <c r="U18" s="171">
        <f>U19+U20+U21+U22+U23+U24+U25+U26+U27+U28+U29+U37+U32+U30+U31+U33+U36+U34+U35</f>
        <v>1511640.69</v>
      </c>
      <c r="V18" s="172">
        <f t="shared" si="6"/>
        <v>1511640.69</v>
      </c>
      <c r="W18" s="826" t="str">
        <f t="shared" si="7"/>
        <v>-</v>
      </c>
      <c r="X18" s="969"/>
    </row>
    <row r="19" spans="1:24" x14ac:dyDescent="0.25">
      <c r="A19" s="638"/>
      <c r="B19" s="644" t="s">
        <v>731</v>
      </c>
      <c r="C19" s="446"/>
      <c r="D19" s="446"/>
      <c r="E19" s="171"/>
      <c r="F19" s="446">
        <v>52512</v>
      </c>
      <c r="G19" s="172"/>
      <c r="H19" s="173"/>
      <c r="I19" s="980"/>
      <c r="J19" s="171"/>
      <c r="K19" s="446">
        <v>52512</v>
      </c>
      <c r="L19" s="172"/>
      <c r="M19" s="173"/>
      <c r="N19" s="983"/>
      <c r="O19" s="171"/>
      <c r="P19" s="446">
        <v>52512</v>
      </c>
      <c r="Q19" s="172"/>
      <c r="R19" s="173"/>
      <c r="S19" s="983"/>
      <c r="T19" s="171"/>
      <c r="U19" s="446">
        <f>52512</f>
        <v>52512</v>
      </c>
      <c r="V19" s="172"/>
      <c r="W19" s="826"/>
      <c r="X19" s="969"/>
    </row>
    <row r="20" spans="1:24" x14ac:dyDescent="0.25">
      <c r="A20" s="638"/>
      <c r="B20" s="644" t="s">
        <v>732</v>
      </c>
      <c r="C20" s="446"/>
      <c r="D20" s="446"/>
      <c r="E20" s="171"/>
      <c r="F20" s="446">
        <v>4453</v>
      </c>
      <c r="G20" s="172"/>
      <c r="H20" s="173"/>
      <c r="I20" s="980"/>
      <c r="J20" s="171"/>
      <c r="K20" s="446">
        <v>4453</v>
      </c>
      <c r="L20" s="172"/>
      <c r="M20" s="173"/>
      <c r="N20" s="983"/>
      <c r="O20" s="171"/>
      <c r="P20" s="446">
        <v>4453</v>
      </c>
      <c r="Q20" s="172"/>
      <c r="R20" s="173"/>
      <c r="S20" s="983"/>
      <c r="T20" s="171"/>
      <c r="U20" s="446">
        <v>4453</v>
      </c>
      <c r="V20" s="172"/>
      <c r="W20" s="826"/>
      <c r="X20" s="969"/>
    </row>
    <row r="21" spans="1:24" x14ac:dyDescent="0.25">
      <c r="A21" s="638"/>
      <c r="B21" s="644" t="s">
        <v>733</v>
      </c>
      <c r="C21" s="446"/>
      <c r="D21" s="446"/>
      <c r="E21" s="171"/>
      <c r="F21" s="446">
        <v>9000</v>
      </c>
      <c r="G21" s="172"/>
      <c r="H21" s="173"/>
      <c r="I21" s="980"/>
      <c r="J21" s="171"/>
      <c r="K21" s="446">
        <v>9000</v>
      </c>
      <c r="L21" s="172"/>
      <c r="M21" s="173"/>
      <c r="N21" s="983"/>
      <c r="O21" s="171"/>
      <c r="P21" s="446">
        <v>9000</v>
      </c>
      <c r="Q21" s="172"/>
      <c r="R21" s="173"/>
      <c r="S21" s="983"/>
      <c r="T21" s="171"/>
      <c r="U21" s="446">
        <v>9000</v>
      </c>
      <c r="V21" s="172"/>
      <c r="W21" s="826"/>
      <c r="X21" s="969"/>
    </row>
    <row r="22" spans="1:24" x14ac:dyDescent="0.25">
      <c r="A22" s="638"/>
      <c r="B22" s="644" t="s">
        <v>734</v>
      </c>
      <c r="C22" s="446"/>
      <c r="D22" s="446"/>
      <c r="E22" s="171"/>
      <c r="F22" s="446">
        <v>2360</v>
      </c>
      <c r="G22" s="172"/>
      <c r="H22" s="173"/>
      <c r="I22" s="980"/>
      <c r="J22" s="171"/>
      <c r="K22" s="446">
        <v>2360</v>
      </c>
      <c r="L22" s="172"/>
      <c r="M22" s="173"/>
      <c r="N22" s="983"/>
      <c r="O22" s="171"/>
      <c r="P22" s="446">
        <v>2360</v>
      </c>
      <c r="Q22" s="172"/>
      <c r="R22" s="173"/>
      <c r="S22" s="983"/>
      <c r="T22" s="171"/>
      <c r="U22" s="446">
        <v>2360</v>
      </c>
      <c r="V22" s="172"/>
      <c r="W22" s="826"/>
      <c r="X22" s="969"/>
    </row>
    <row r="23" spans="1:24" x14ac:dyDescent="0.25">
      <c r="A23" s="638"/>
      <c r="B23" s="644" t="s">
        <v>735</v>
      </c>
      <c r="C23" s="446"/>
      <c r="D23" s="446"/>
      <c r="E23" s="171"/>
      <c r="F23" s="446">
        <v>3970</v>
      </c>
      <c r="G23" s="172"/>
      <c r="H23" s="173"/>
      <c r="I23" s="980"/>
      <c r="J23" s="171"/>
      <c r="K23" s="446">
        <v>3970</v>
      </c>
      <c r="L23" s="172"/>
      <c r="M23" s="173"/>
      <c r="N23" s="983"/>
      <c r="O23" s="171"/>
      <c r="P23" s="446">
        <v>3970</v>
      </c>
      <c r="Q23" s="172"/>
      <c r="R23" s="173"/>
      <c r="S23" s="983"/>
      <c r="T23" s="171"/>
      <c r="U23" s="446">
        <v>3970</v>
      </c>
      <c r="V23" s="172"/>
      <c r="W23" s="826"/>
      <c r="X23" s="969"/>
    </row>
    <row r="24" spans="1:24" x14ac:dyDescent="0.25">
      <c r="A24" s="638"/>
      <c r="B24" s="644" t="s">
        <v>736</v>
      </c>
      <c r="C24" s="446"/>
      <c r="D24" s="446"/>
      <c r="E24" s="171"/>
      <c r="F24" s="446">
        <v>3436</v>
      </c>
      <c r="G24" s="172"/>
      <c r="H24" s="173"/>
      <c r="I24" s="980"/>
      <c r="J24" s="171"/>
      <c r="K24" s="446">
        <v>3436</v>
      </c>
      <c r="L24" s="172"/>
      <c r="M24" s="173"/>
      <c r="N24" s="983"/>
      <c r="O24" s="171"/>
      <c r="P24" s="446">
        <v>3436</v>
      </c>
      <c r="Q24" s="172"/>
      <c r="R24" s="173"/>
      <c r="S24" s="983"/>
      <c r="T24" s="171"/>
      <c r="U24" s="446">
        <v>3436</v>
      </c>
      <c r="V24" s="172"/>
      <c r="W24" s="826"/>
      <c r="X24" s="969"/>
    </row>
    <row r="25" spans="1:24" ht="47.25" x14ac:dyDescent="0.25">
      <c r="A25" s="638"/>
      <c r="B25" s="722" t="s">
        <v>737</v>
      </c>
      <c r="C25" s="446"/>
      <c r="D25" s="446"/>
      <c r="E25" s="171"/>
      <c r="F25" s="446">
        <v>47850</v>
      </c>
      <c r="G25" s="172"/>
      <c r="H25" s="173"/>
      <c r="I25" s="980"/>
      <c r="J25" s="171"/>
      <c r="K25" s="446">
        <v>47850</v>
      </c>
      <c r="L25" s="172"/>
      <c r="M25" s="173"/>
      <c r="N25" s="983"/>
      <c r="O25" s="171"/>
      <c r="P25" s="446">
        <v>47850</v>
      </c>
      <c r="Q25" s="172"/>
      <c r="R25" s="173"/>
      <c r="S25" s="983"/>
      <c r="T25" s="171"/>
      <c r="U25" s="446">
        <v>47850</v>
      </c>
      <c r="V25" s="172"/>
      <c r="W25" s="826"/>
      <c r="X25" s="969"/>
    </row>
    <row r="26" spans="1:24" ht="28.5" customHeight="1" x14ac:dyDescent="0.25">
      <c r="A26" s="638"/>
      <c r="B26" s="737" t="s">
        <v>738</v>
      </c>
      <c r="C26" s="723"/>
      <c r="D26" s="446"/>
      <c r="E26" s="171"/>
      <c r="F26" s="446"/>
      <c r="G26" s="172"/>
      <c r="H26" s="173"/>
      <c r="I26" s="980"/>
      <c r="J26" s="171"/>
      <c r="K26" s="446">
        <v>309366</v>
      </c>
      <c r="L26" s="172"/>
      <c r="M26" s="173"/>
      <c r="N26" s="983"/>
      <c r="O26" s="171"/>
      <c r="P26" s="446">
        <v>309366</v>
      </c>
      <c r="Q26" s="172"/>
      <c r="R26" s="173"/>
      <c r="S26" s="983"/>
      <c r="T26" s="171"/>
      <c r="U26" s="446">
        <v>309366</v>
      </c>
      <c r="V26" s="172"/>
      <c r="W26" s="826"/>
      <c r="X26" s="969"/>
    </row>
    <row r="27" spans="1:24" ht="28.5" customHeight="1" x14ac:dyDescent="0.25">
      <c r="A27" s="638"/>
      <c r="B27" s="737" t="s">
        <v>739</v>
      </c>
      <c r="C27" s="723"/>
      <c r="D27" s="446"/>
      <c r="E27" s="171"/>
      <c r="F27" s="446"/>
      <c r="G27" s="172"/>
      <c r="H27" s="173"/>
      <c r="I27" s="980"/>
      <c r="J27" s="171"/>
      <c r="K27" s="446">
        <v>72600</v>
      </c>
      <c r="L27" s="172"/>
      <c r="M27" s="173"/>
      <c r="N27" s="983"/>
      <c r="O27" s="171"/>
      <c r="P27" s="446">
        <v>72600</v>
      </c>
      <c r="Q27" s="172"/>
      <c r="R27" s="173"/>
      <c r="S27" s="983"/>
      <c r="T27" s="171"/>
      <c r="U27" s="446">
        <v>72600</v>
      </c>
      <c r="V27" s="172"/>
      <c r="W27" s="826"/>
      <c r="X27" s="969"/>
    </row>
    <row r="28" spans="1:24" ht="28.5" customHeight="1" x14ac:dyDescent="0.25">
      <c r="A28" s="638"/>
      <c r="B28" s="737" t="s">
        <v>740</v>
      </c>
      <c r="C28" s="723"/>
      <c r="D28" s="446"/>
      <c r="E28" s="171"/>
      <c r="F28" s="446"/>
      <c r="G28" s="172"/>
      <c r="H28" s="173"/>
      <c r="I28" s="980"/>
      <c r="J28" s="171"/>
      <c r="K28" s="446">
        <v>26923</v>
      </c>
      <c r="L28" s="172"/>
      <c r="M28" s="173"/>
      <c r="N28" s="983"/>
      <c r="O28" s="171"/>
      <c r="P28" s="446">
        <v>26923</v>
      </c>
      <c r="Q28" s="172"/>
      <c r="R28" s="173"/>
      <c r="S28" s="983"/>
      <c r="T28" s="171"/>
      <c r="U28" s="446">
        <v>26923</v>
      </c>
      <c r="V28" s="172"/>
      <c r="W28" s="826"/>
      <c r="X28" s="969"/>
    </row>
    <row r="29" spans="1:24" ht="28.5" customHeight="1" x14ac:dyDescent="0.25">
      <c r="A29" s="638"/>
      <c r="B29" s="813" t="s">
        <v>741</v>
      </c>
      <c r="C29" s="446"/>
      <c r="D29" s="446"/>
      <c r="E29" s="171"/>
      <c r="F29" s="446"/>
      <c r="G29" s="172"/>
      <c r="H29" s="173"/>
      <c r="I29" s="980"/>
      <c r="J29" s="171"/>
      <c r="K29" s="446">
        <v>207821</v>
      </c>
      <c r="L29" s="172"/>
      <c r="M29" s="173"/>
      <c r="N29" s="983"/>
      <c r="O29" s="171"/>
      <c r="P29" s="446">
        <v>207821</v>
      </c>
      <c r="Q29" s="172"/>
      <c r="R29" s="173"/>
      <c r="S29" s="983"/>
      <c r="T29" s="171"/>
      <c r="U29" s="446">
        <v>207821</v>
      </c>
      <c r="V29" s="172"/>
      <c r="W29" s="826"/>
      <c r="X29" s="969"/>
    </row>
    <row r="30" spans="1:24" ht="28.5" customHeight="1" x14ac:dyDescent="0.25">
      <c r="A30" s="638"/>
      <c r="B30" s="813" t="s">
        <v>742</v>
      </c>
      <c r="C30" s="446"/>
      <c r="D30" s="446"/>
      <c r="E30" s="171"/>
      <c r="F30" s="446"/>
      <c r="G30" s="172"/>
      <c r="H30" s="173"/>
      <c r="I30" s="980"/>
      <c r="J30" s="171"/>
      <c r="K30" s="446"/>
      <c r="L30" s="172"/>
      <c r="M30" s="173"/>
      <c r="N30" s="983"/>
      <c r="O30" s="171"/>
      <c r="P30" s="446"/>
      <c r="Q30" s="172"/>
      <c r="R30" s="173"/>
      <c r="S30" s="983"/>
      <c r="T30" s="171"/>
      <c r="U30" s="446">
        <v>267289</v>
      </c>
      <c r="V30" s="172"/>
      <c r="W30" s="826"/>
      <c r="X30" s="969"/>
    </row>
    <row r="31" spans="1:24" ht="28.5" customHeight="1" x14ac:dyDescent="0.25">
      <c r="A31" s="638"/>
      <c r="B31" s="813" t="s">
        <v>743</v>
      </c>
      <c r="C31" s="446"/>
      <c r="D31" s="446"/>
      <c r="E31" s="171"/>
      <c r="F31" s="446"/>
      <c r="G31" s="172"/>
      <c r="H31" s="173"/>
      <c r="I31" s="980"/>
      <c r="J31" s="171"/>
      <c r="K31" s="446"/>
      <c r="L31" s="172"/>
      <c r="M31" s="173"/>
      <c r="N31" s="983"/>
      <c r="O31" s="171"/>
      <c r="P31" s="446"/>
      <c r="Q31" s="172"/>
      <c r="R31" s="173"/>
      <c r="S31" s="983"/>
      <c r="T31" s="171"/>
      <c r="U31" s="446">
        <v>65337.58</v>
      </c>
      <c r="V31" s="172"/>
      <c r="W31" s="826"/>
      <c r="X31" s="969"/>
    </row>
    <row r="32" spans="1:24" ht="28.5" customHeight="1" x14ac:dyDescent="0.25">
      <c r="A32" s="638"/>
      <c r="B32" s="813" t="s">
        <v>744</v>
      </c>
      <c r="C32" s="446"/>
      <c r="D32" s="446"/>
      <c r="E32" s="171"/>
      <c r="F32" s="446"/>
      <c r="G32" s="172"/>
      <c r="H32" s="173"/>
      <c r="I32" s="980"/>
      <c r="J32" s="171"/>
      <c r="K32" s="446"/>
      <c r="L32" s="172"/>
      <c r="M32" s="173"/>
      <c r="N32" s="983"/>
      <c r="O32" s="171"/>
      <c r="P32" s="446">
        <v>269092</v>
      </c>
      <c r="Q32" s="172"/>
      <c r="R32" s="173"/>
      <c r="S32" s="983"/>
      <c r="T32" s="171"/>
      <c r="U32" s="446">
        <v>269092</v>
      </c>
      <c r="V32" s="172"/>
      <c r="W32" s="826"/>
      <c r="X32" s="969"/>
    </row>
    <row r="33" spans="1:25" ht="28.5" customHeight="1" x14ac:dyDescent="0.25">
      <c r="A33" s="638"/>
      <c r="B33" s="813" t="s">
        <v>745</v>
      </c>
      <c r="C33" s="446"/>
      <c r="D33" s="446"/>
      <c r="E33" s="171"/>
      <c r="F33" s="446"/>
      <c r="G33" s="172"/>
      <c r="H33" s="173"/>
      <c r="I33" s="980"/>
      <c r="J33" s="171"/>
      <c r="K33" s="446"/>
      <c r="L33" s="172"/>
      <c r="M33" s="173"/>
      <c r="N33" s="983"/>
      <c r="O33" s="171"/>
      <c r="P33" s="446"/>
      <c r="Q33" s="172"/>
      <c r="R33" s="173"/>
      <c r="S33" s="983"/>
      <c r="T33" s="171"/>
      <c r="U33" s="446">
        <v>25812.93</v>
      </c>
      <c r="V33" s="172"/>
      <c r="W33" s="826"/>
      <c r="X33" s="969"/>
    </row>
    <row r="34" spans="1:25" ht="28.5" customHeight="1" x14ac:dyDescent="0.25">
      <c r="A34" s="638"/>
      <c r="B34" s="813" t="s">
        <v>746</v>
      </c>
      <c r="C34" s="446"/>
      <c r="D34" s="446"/>
      <c r="E34" s="171"/>
      <c r="F34" s="446"/>
      <c r="G34" s="172"/>
      <c r="H34" s="173"/>
      <c r="I34" s="980"/>
      <c r="J34" s="171"/>
      <c r="K34" s="446"/>
      <c r="L34" s="172"/>
      <c r="M34" s="173"/>
      <c r="N34" s="983"/>
      <c r="O34" s="171"/>
      <c r="P34" s="446"/>
      <c r="Q34" s="172"/>
      <c r="R34" s="173"/>
      <c r="S34" s="983"/>
      <c r="T34" s="171"/>
      <c r="U34" s="446">
        <v>5566</v>
      </c>
      <c r="V34" s="172"/>
      <c r="W34" s="826"/>
      <c r="X34" s="969"/>
      <c r="Y34" s="965"/>
    </row>
    <row r="35" spans="1:25" ht="28.5" customHeight="1" x14ac:dyDescent="0.25">
      <c r="A35" s="638"/>
      <c r="B35" s="813" t="s">
        <v>747</v>
      </c>
      <c r="C35" s="446"/>
      <c r="D35" s="446"/>
      <c r="E35" s="171"/>
      <c r="F35" s="446"/>
      <c r="G35" s="172"/>
      <c r="H35" s="173"/>
      <c r="I35" s="980"/>
      <c r="J35" s="171"/>
      <c r="K35" s="446"/>
      <c r="L35" s="172"/>
      <c r="M35" s="173"/>
      <c r="N35" s="983"/>
      <c r="O35" s="171"/>
      <c r="P35" s="446"/>
      <c r="Q35" s="172"/>
      <c r="R35" s="173"/>
      <c r="S35" s="983"/>
      <c r="T35" s="171"/>
      <c r="U35" s="446">
        <v>2732.18</v>
      </c>
      <c r="V35" s="172"/>
      <c r="W35" s="826"/>
      <c r="X35" s="969"/>
      <c r="Y35" s="966"/>
    </row>
    <row r="36" spans="1:25" ht="28.5" customHeight="1" x14ac:dyDescent="0.25">
      <c r="A36" s="638"/>
      <c r="B36" s="738" t="s">
        <v>748</v>
      </c>
      <c r="C36" s="446"/>
      <c r="D36" s="446"/>
      <c r="E36" s="171"/>
      <c r="F36" s="446"/>
      <c r="G36" s="172"/>
      <c r="H36" s="173"/>
      <c r="I36" s="980"/>
      <c r="J36" s="171"/>
      <c r="K36" s="446"/>
      <c r="L36" s="172"/>
      <c r="M36" s="173"/>
      <c r="N36" s="983"/>
      <c r="O36" s="171"/>
      <c r="P36" s="446"/>
      <c r="Q36" s="172"/>
      <c r="R36" s="173"/>
      <c r="S36" s="983"/>
      <c r="T36" s="171"/>
      <c r="U36" s="446">
        <v>9075</v>
      </c>
      <c r="V36" s="172"/>
      <c r="W36" s="826"/>
      <c r="X36" s="969"/>
      <c r="Y36" s="966"/>
    </row>
    <row r="37" spans="1:25" x14ac:dyDescent="0.25">
      <c r="A37" s="638"/>
      <c r="B37" s="644" t="s">
        <v>749</v>
      </c>
      <c r="C37" s="446"/>
      <c r="D37" s="446"/>
      <c r="E37" s="171"/>
      <c r="F37" s="446">
        <f>26337+2205+6937+90886</f>
        <v>126365</v>
      </c>
      <c r="G37" s="172"/>
      <c r="H37" s="173"/>
      <c r="I37" s="980"/>
      <c r="J37" s="171"/>
      <c r="K37" s="446">
        <f>26337+2205+6937+90886</f>
        <v>126365</v>
      </c>
      <c r="L37" s="172"/>
      <c r="M37" s="173"/>
      <c r="N37" s="983"/>
      <c r="O37" s="171"/>
      <c r="P37" s="446">
        <f>26337+2205+6937+90886</f>
        <v>126365</v>
      </c>
      <c r="Q37" s="172"/>
      <c r="R37" s="173"/>
      <c r="S37" s="983"/>
      <c r="T37" s="171"/>
      <c r="U37" s="446">
        <f>26337+2205+6937+90886+80</f>
        <v>126445</v>
      </c>
      <c r="V37" s="172"/>
      <c r="W37" s="826"/>
      <c r="X37" s="969"/>
      <c r="Y37" s="966"/>
    </row>
    <row r="38" spans="1:25" ht="31.5" x14ac:dyDescent="0.25">
      <c r="A38" s="638">
        <v>53120</v>
      </c>
      <c r="B38" s="642" t="s">
        <v>750</v>
      </c>
      <c r="C38" s="446"/>
      <c r="D38" s="446"/>
      <c r="E38" s="171"/>
      <c r="F38" s="446"/>
      <c r="G38" s="172">
        <f t="shared" si="0"/>
        <v>0</v>
      </c>
      <c r="H38" s="173" t="str">
        <f t="shared" si="1"/>
        <v>-</v>
      </c>
      <c r="I38" s="980"/>
      <c r="J38" s="171"/>
      <c r="K38" s="446"/>
      <c r="L38" s="172">
        <f t="shared" si="2"/>
        <v>0</v>
      </c>
      <c r="M38" s="173" t="str">
        <f t="shared" si="3"/>
        <v>-</v>
      </c>
      <c r="N38" s="983"/>
      <c r="O38" s="171"/>
      <c r="P38" s="446">
        <v>48213</v>
      </c>
      <c r="Q38" s="172">
        <f t="shared" si="4"/>
        <v>48213</v>
      </c>
      <c r="R38" s="173" t="str">
        <f t="shared" si="5"/>
        <v>-</v>
      </c>
      <c r="S38" s="983"/>
      <c r="T38" s="171"/>
      <c r="U38" s="446">
        <f>48213+U39</f>
        <v>119977.48</v>
      </c>
      <c r="V38" s="172">
        <f t="shared" si="6"/>
        <v>119977.48</v>
      </c>
      <c r="W38" s="826" t="str">
        <f t="shared" si="7"/>
        <v>-</v>
      </c>
      <c r="X38" s="969"/>
      <c r="Y38" s="967"/>
    </row>
    <row r="39" spans="1:25" x14ac:dyDescent="0.25">
      <c r="A39" s="638"/>
      <c r="B39" s="642" t="s">
        <v>751</v>
      </c>
      <c r="C39" s="446"/>
      <c r="D39" s="446"/>
      <c r="E39" s="171"/>
      <c r="F39" s="446"/>
      <c r="G39" s="172"/>
      <c r="H39" s="173"/>
      <c r="I39" s="980"/>
      <c r="J39" s="171"/>
      <c r="K39" s="446"/>
      <c r="L39" s="172"/>
      <c r="M39" s="173"/>
      <c r="N39" s="983"/>
      <c r="O39" s="171"/>
      <c r="P39" s="446"/>
      <c r="Q39" s="172"/>
      <c r="R39" s="173"/>
      <c r="S39" s="983"/>
      <c r="T39" s="171"/>
      <c r="U39" s="446">
        <v>71764.479999999996</v>
      </c>
      <c r="V39" s="172"/>
      <c r="W39" s="826"/>
      <c r="X39" s="969"/>
    </row>
    <row r="40" spans="1:25" x14ac:dyDescent="0.25">
      <c r="A40" s="638">
        <v>53200</v>
      </c>
      <c r="B40" s="175" t="s">
        <v>752</v>
      </c>
      <c r="C40" s="446"/>
      <c r="D40" s="446"/>
      <c r="E40" s="171"/>
      <c r="F40" s="446"/>
      <c r="G40" s="172">
        <f t="shared" si="0"/>
        <v>0</v>
      </c>
      <c r="H40" s="173" t="str">
        <f t="shared" si="1"/>
        <v>-</v>
      </c>
      <c r="I40" s="980"/>
      <c r="J40" s="171"/>
      <c r="K40" s="446"/>
      <c r="L40" s="172">
        <f t="shared" si="2"/>
        <v>0</v>
      </c>
      <c r="M40" s="173" t="str">
        <f t="shared" si="3"/>
        <v>-</v>
      </c>
      <c r="N40" s="983"/>
      <c r="O40" s="171"/>
      <c r="P40" s="446"/>
      <c r="Q40" s="172">
        <f t="shared" si="4"/>
        <v>0</v>
      </c>
      <c r="R40" s="173" t="str">
        <f t="shared" si="5"/>
        <v>-</v>
      </c>
      <c r="S40" s="983"/>
      <c r="T40" s="171"/>
      <c r="U40" s="446"/>
      <c r="V40" s="172">
        <f t="shared" si="6"/>
        <v>0</v>
      </c>
      <c r="W40" s="826" t="str">
        <f t="shared" si="7"/>
        <v>-</v>
      </c>
      <c r="X40" s="969"/>
    </row>
    <row r="41" spans="1:25" x14ac:dyDescent="0.25">
      <c r="A41" s="638">
        <v>53300</v>
      </c>
      <c r="B41" s="175" t="s">
        <v>753</v>
      </c>
      <c r="C41" s="446"/>
      <c r="D41" s="446"/>
      <c r="E41" s="171"/>
      <c r="F41" s="446">
        <f>F42+F43</f>
        <v>4835</v>
      </c>
      <c r="G41" s="172">
        <f t="shared" si="0"/>
        <v>4835</v>
      </c>
      <c r="H41" s="173" t="str">
        <f t="shared" si="1"/>
        <v>-</v>
      </c>
      <c r="I41" s="980"/>
      <c r="J41" s="171"/>
      <c r="K41" s="446">
        <f>K42+K43</f>
        <v>4835</v>
      </c>
      <c r="L41" s="172">
        <f t="shared" si="2"/>
        <v>4835</v>
      </c>
      <c r="M41" s="173" t="str">
        <f t="shared" si="3"/>
        <v>-</v>
      </c>
      <c r="N41" s="983"/>
      <c r="O41" s="171"/>
      <c r="P41" s="446">
        <f>P42+P43</f>
        <v>4835</v>
      </c>
      <c r="Q41" s="172">
        <f t="shared" si="4"/>
        <v>4835</v>
      </c>
      <c r="R41" s="173" t="str">
        <f t="shared" si="5"/>
        <v>-</v>
      </c>
      <c r="S41" s="983"/>
      <c r="T41" s="171"/>
      <c r="U41" s="446">
        <f>U42+U43+U44+U45+U46+U47+U48</f>
        <v>43910.33</v>
      </c>
      <c r="V41" s="172">
        <f t="shared" si="6"/>
        <v>43910.33</v>
      </c>
      <c r="W41" s="826" t="str">
        <f t="shared" si="7"/>
        <v>-</v>
      </c>
      <c r="X41" s="969"/>
    </row>
    <row r="42" spans="1:25" x14ac:dyDescent="0.25">
      <c r="A42" s="638"/>
      <c r="B42" s="175" t="s">
        <v>754</v>
      </c>
      <c r="C42" s="446"/>
      <c r="D42" s="446"/>
      <c r="E42" s="171"/>
      <c r="F42" s="446">
        <v>1152</v>
      </c>
      <c r="G42" s="172"/>
      <c r="H42" s="173"/>
      <c r="I42" s="980"/>
      <c r="J42" s="171"/>
      <c r="K42" s="446">
        <v>1152</v>
      </c>
      <c r="L42" s="172"/>
      <c r="M42" s="173"/>
      <c r="N42" s="983"/>
      <c r="O42" s="171"/>
      <c r="P42" s="446">
        <v>1152</v>
      </c>
      <c r="Q42" s="172"/>
      <c r="R42" s="173"/>
      <c r="S42" s="983"/>
      <c r="T42" s="171"/>
      <c r="U42" s="446">
        <v>1152</v>
      </c>
      <c r="V42" s="172"/>
      <c r="W42" s="826"/>
      <c r="X42" s="969"/>
    </row>
    <row r="43" spans="1:25" x14ac:dyDescent="0.25">
      <c r="A43" s="638"/>
      <c r="B43" s="175" t="s">
        <v>755</v>
      </c>
      <c r="C43" s="446"/>
      <c r="D43" s="446"/>
      <c r="E43" s="171"/>
      <c r="F43" s="446">
        <v>3683</v>
      </c>
      <c r="G43" s="172"/>
      <c r="H43" s="173"/>
      <c r="I43" s="980"/>
      <c r="J43" s="171"/>
      <c r="K43" s="446">
        <v>3683</v>
      </c>
      <c r="L43" s="172"/>
      <c r="M43" s="173"/>
      <c r="N43" s="983"/>
      <c r="O43" s="171"/>
      <c r="P43" s="446">
        <v>3683</v>
      </c>
      <c r="Q43" s="172"/>
      <c r="R43" s="173"/>
      <c r="S43" s="983"/>
      <c r="T43" s="171"/>
      <c r="U43" s="446">
        <v>3683</v>
      </c>
      <c r="V43" s="172"/>
      <c r="W43" s="826"/>
      <c r="X43" s="969"/>
    </row>
    <row r="44" spans="1:25" x14ac:dyDescent="0.25">
      <c r="A44" s="638"/>
      <c r="B44" s="175" t="s">
        <v>756</v>
      </c>
      <c r="C44" s="446"/>
      <c r="D44" s="446"/>
      <c r="E44" s="171"/>
      <c r="F44" s="446"/>
      <c r="G44" s="172"/>
      <c r="H44" s="173"/>
      <c r="I44" s="980"/>
      <c r="J44" s="171"/>
      <c r="K44" s="446"/>
      <c r="L44" s="172"/>
      <c r="M44" s="173"/>
      <c r="N44" s="983"/>
      <c r="O44" s="171"/>
      <c r="P44" s="446"/>
      <c r="Q44" s="172"/>
      <c r="R44" s="173"/>
      <c r="S44" s="983"/>
      <c r="T44" s="171"/>
      <c r="U44" s="446">
        <v>623.9</v>
      </c>
      <c r="V44" s="172"/>
      <c r="W44" s="826"/>
      <c r="X44" s="969"/>
    </row>
    <row r="45" spans="1:25" x14ac:dyDescent="0.25">
      <c r="A45" s="638"/>
      <c r="B45" s="175" t="s">
        <v>757</v>
      </c>
      <c r="C45" s="446"/>
      <c r="D45" s="446"/>
      <c r="E45" s="171"/>
      <c r="F45" s="446"/>
      <c r="G45" s="172"/>
      <c r="H45" s="173"/>
      <c r="I45" s="980"/>
      <c r="J45" s="171"/>
      <c r="K45" s="446"/>
      <c r="L45" s="172"/>
      <c r="M45" s="173"/>
      <c r="N45" s="983"/>
      <c r="O45" s="171"/>
      <c r="P45" s="446"/>
      <c r="Q45" s="172"/>
      <c r="R45" s="173"/>
      <c r="S45" s="983"/>
      <c r="T45" s="171"/>
      <c r="U45" s="446">
        <v>229</v>
      </c>
      <c r="V45" s="172"/>
      <c r="W45" s="826"/>
      <c r="X45" s="969"/>
    </row>
    <row r="46" spans="1:25" x14ac:dyDescent="0.25">
      <c r="A46" s="638"/>
      <c r="B46" s="175" t="s">
        <v>758</v>
      </c>
      <c r="C46" s="446"/>
      <c r="D46" s="446"/>
      <c r="E46" s="171"/>
      <c r="F46" s="446"/>
      <c r="G46" s="172"/>
      <c r="H46" s="173"/>
      <c r="I46" s="980"/>
      <c r="J46" s="171"/>
      <c r="K46" s="446"/>
      <c r="L46" s="172"/>
      <c r="M46" s="173"/>
      <c r="N46" s="983"/>
      <c r="O46" s="171"/>
      <c r="P46" s="446"/>
      <c r="Q46" s="172"/>
      <c r="R46" s="173"/>
      <c r="S46" s="983"/>
      <c r="T46" s="171"/>
      <c r="U46" s="446">
        <v>816.75</v>
      </c>
      <c r="V46" s="172"/>
      <c r="W46" s="826"/>
      <c r="X46" s="969"/>
    </row>
    <row r="47" spans="1:25" x14ac:dyDescent="0.25">
      <c r="A47" s="638"/>
      <c r="B47" s="175" t="s">
        <v>759</v>
      </c>
      <c r="C47" s="446"/>
      <c r="D47" s="446"/>
      <c r="E47" s="171"/>
      <c r="F47" s="446"/>
      <c r="G47" s="172"/>
      <c r="H47" s="173"/>
      <c r="I47" s="980"/>
      <c r="J47" s="171"/>
      <c r="K47" s="446"/>
      <c r="L47" s="172"/>
      <c r="M47" s="173"/>
      <c r="N47" s="983"/>
      <c r="O47" s="171"/>
      <c r="P47" s="446"/>
      <c r="Q47" s="172"/>
      <c r="R47" s="173"/>
      <c r="S47" s="983"/>
      <c r="T47" s="171"/>
      <c r="U47" s="446">
        <v>5475.6</v>
      </c>
      <c r="V47" s="172"/>
      <c r="W47" s="826"/>
      <c r="X47" s="969"/>
    </row>
    <row r="48" spans="1:25" x14ac:dyDescent="0.25">
      <c r="A48" s="638"/>
      <c r="B48" s="175" t="s">
        <v>760</v>
      </c>
      <c r="C48" s="446"/>
      <c r="D48" s="446"/>
      <c r="E48" s="171"/>
      <c r="F48" s="446"/>
      <c r="G48" s="172"/>
      <c r="H48" s="173"/>
      <c r="I48" s="980"/>
      <c r="J48" s="171"/>
      <c r="K48" s="446"/>
      <c r="L48" s="172"/>
      <c r="M48" s="173"/>
      <c r="N48" s="983"/>
      <c r="O48" s="171"/>
      <c r="P48" s="446"/>
      <c r="Q48" s="172"/>
      <c r="R48" s="173"/>
      <c r="S48" s="983"/>
      <c r="T48" s="171"/>
      <c r="U48" s="446">
        <v>31930.080000000002</v>
      </c>
      <c r="V48" s="172"/>
      <c r="W48" s="826"/>
      <c r="X48" s="969"/>
    </row>
    <row r="49" spans="1:24" ht="31.5" x14ac:dyDescent="0.25">
      <c r="A49" s="638">
        <v>53400</v>
      </c>
      <c r="B49" s="175" t="s">
        <v>761</v>
      </c>
      <c r="C49" s="446"/>
      <c r="D49" s="446"/>
      <c r="E49" s="171"/>
      <c r="F49" s="446">
        <f>F50+F53</f>
        <v>6395</v>
      </c>
      <c r="G49" s="172">
        <f t="shared" si="0"/>
        <v>6395</v>
      </c>
      <c r="H49" s="173" t="str">
        <f t="shared" si="1"/>
        <v>-</v>
      </c>
      <c r="I49" s="980"/>
      <c r="J49" s="171"/>
      <c r="K49" s="446">
        <f>K50+K53+K56</f>
        <v>20453</v>
      </c>
      <c r="L49" s="172">
        <f t="shared" si="2"/>
        <v>20453</v>
      </c>
      <c r="M49" s="173" t="str">
        <f t="shared" si="3"/>
        <v>-</v>
      </c>
      <c r="N49" s="983"/>
      <c r="O49" s="171"/>
      <c r="P49" s="446">
        <f>P50+P53+P56</f>
        <v>20453</v>
      </c>
      <c r="Q49" s="172">
        <f t="shared" si="4"/>
        <v>20453</v>
      </c>
      <c r="R49" s="173" t="str">
        <f t="shared" si="5"/>
        <v>-</v>
      </c>
      <c r="S49" s="983"/>
      <c r="T49" s="171"/>
      <c r="U49" s="446">
        <f>U50+U53+U56+U54+U55</f>
        <v>90574.03</v>
      </c>
      <c r="V49" s="172">
        <f t="shared" si="6"/>
        <v>90574.03</v>
      </c>
      <c r="W49" s="826" t="str">
        <f t="shared" si="7"/>
        <v>-</v>
      </c>
      <c r="X49" s="969"/>
    </row>
    <row r="50" spans="1:24" x14ac:dyDescent="0.25">
      <c r="A50" s="638"/>
      <c r="B50" s="815" t="s">
        <v>762</v>
      </c>
      <c r="C50" s="446"/>
      <c r="D50" s="446"/>
      <c r="E50" s="171"/>
      <c r="F50" s="446">
        <v>4068</v>
      </c>
      <c r="G50" s="172"/>
      <c r="H50" s="173"/>
      <c r="I50" s="980"/>
      <c r="J50" s="171"/>
      <c r="K50" s="446">
        <v>4068</v>
      </c>
      <c r="L50" s="172"/>
      <c r="M50" s="173"/>
      <c r="N50" s="983"/>
      <c r="O50" s="171"/>
      <c r="P50" s="446">
        <v>4068</v>
      </c>
      <c r="Q50" s="172"/>
      <c r="R50" s="173"/>
      <c r="S50" s="983"/>
      <c r="T50" s="171"/>
      <c r="U50" s="446">
        <v>4068</v>
      </c>
      <c r="V50" s="172"/>
      <c r="W50" s="826"/>
      <c r="X50" s="969"/>
    </row>
    <row r="51" spans="1:24" x14ac:dyDescent="0.25">
      <c r="A51" s="638"/>
      <c r="B51" s="815" t="s">
        <v>763</v>
      </c>
      <c r="C51" s="446"/>
      <c r="D51" s="446"/>
      <c r="E51" s="171"/>
      <c r="F51" s="446"/>
      <c r="G51" s="172"/>
      <c r="H51" s="173"/>
      <c r="I51" s="980"/>
      <c r="J51" s="171"/>
      <c r="K51" s="446"/>
      <c r="L51" s="172"/>
      <c r="M51" s="173"/>
      <c r="N51" s="983"/>
      <c r="O51" s="171"/>
      <c r="P51" s="446"/>
      <c r="Q51" s="172"/>
      <c r="R51" s="173"/>
      <c r="S51" s="983"/>
      <c r="T51" s="171"/>
      <c r="U51" s="446">
        <v>2323.1999999999998</v>
      </c>
      <c r="V51" s="172"/>
      <c r="W51" s="826"/>
      <c r="X51" s="969"/>
    </row>
    <row r="52" spans="1:24" x14ac:dyDescent="0.25">
      <c r="A52" s="638"/>
      <c r="B52" s="815" t="s">
        <v>764</v>
      </c>
      <c r="C52" s="446"/>
      <c r="D52" s="446"/>
      <c r="E52" s="171"/>
      <c r="F52" s="446"/>
      <c r="G52" s="172"/>
      <c r="H52" s="173"/>
      <c r="I52" s="980"/>
      <c r="J52" s="171"/>
      <c r="K52" s="446"/>
      <c r="L52" s="172"/>
      <c r="M52" s="173"/>
      <c r="N52" s="983"/>
      <c r="O52" s="171"/>
      <c r="P52" s="446"/>
      <c r="Q52" s="172"/>
      <c r="R52" s="173"/>
      <c r="S52" s="983"/>
      <c r="T52" s="171"/>
      <c r="U52" s="446">
        <v>1633.5</v>
      </c>
      <c r="V52" s="172"/>
      <c r="W52" s="826"/>
      <c r="X52" s="969"/>
    </row>
    <row r="53" spans="1:24" x14ac:dyDescent="0.25">
      <c r="A53" s="638"/>
      <c r="B53" s="175" t="s">
        <v>765</v>
      </c>
      <c r="C53" s="446"/>
      <c r="D53" s="446"/>
      <c r="E53" s="171"/>
      <c r="F53" s="446">
        <v>2327</v>
      </c>
      <c r="G53" s="172"/>
      <c r="H53" s="173"/>
      <c r="I53" s="980"/>
      <c r="J53" s="171"/>
      <c r="K53" s="446">
        <v>2327</v>
      </c>
      <c r="L53" s="172"/>
      <c r="M53" s="173"/>
      <c r="N53" s="983"/>
      <c r="O53" s="171"/>
      <c r="P53" s="446">
        <v>2327</v>
      </c>
      <c r="Q53" s="172"/>
      <c r="R53" s="173"/>
      <c r="S53" s="983"/>
      <c r="T53" s="171"/>
      <c r="U53" s="446">
        <f>2327+37951.65</f>
        <v>40278.65</v>
      </c>
      <c r="V53" s="172"/>
      <c r="W53" s="826"/>
      <c r="X53" s="969"/>
    </row>
    <row r="54" spans="1:24" x14ac:dyDescent="0.25">
      <c r="A54" s="638"/>
      <c r="B54" s="175" t="s">
        <v>766</v>
      </c>
      <c r="C54" s="446"/>
      <c r="D54" s="446"/>
      <c r="E54" s="171"/>
      <c r="F54" s="446"/>
      <c r="G54" s="172"/>
      <c r="H54" s="173"/>
      <c r="I54" s="980"/>
      <c r="J54" s="171"/>
      <c r="K54" s="446"/>
      <c r="L54" s="172"/>
      <c r="M54" s="173"/>
      <c r="N54" s="983"/>
      <c r="O54" s="171"/>
      <c r="P54" s="446"/>
      <c r="Q54" s="172"/>
      <c r="R54" s="173"/>
      <c r="S54" s="983"/>
      <c r="T54" s="171"/>
      <c r="U54" s="446">
        <v>278</v>
      </c>
      <c r="V54" s="172"/>
      <c r="W54" s="826"/>
      <c r="X54" s="969"/>
    </row>
    <row r="55" spans="1:24" x14ac:dyDescent="0.25">
      <c r="A55" s="638"/>
      <c r="B55" s="175" t="s">
        <v>767</v>
      </c>
      <c r="C55" s="446"/>
      <c r="D55" s="446"/>
      <c r="E55" s="171"/>
      <c r="F55" s="446"/>
      <c r="G55" s="172"/>
      <c r="H55" s="173"/>
      <c r="I55" s="980"/>
      <c r="J55" s="171"/>
      <c r="K55" s="446"/>
      <c r="L55" s="172"/>
      <c r="M55" s="173"/>
      <c r="N55" s="983"/>
      <c r="O55" s="171"/>
      <c r="P55" s="446"/>
      <c r="Q55" s="172"/>
      <c r="R55" s="173"/>
      <c r="S55" s="983"/>
      <c r="T55" s="171"/>
      <c r="U55" s="446">
        <v>31891.38</v>
      </c>
      <c r="V55" s="172"/>
      <c r="W55" s="826"/>
      <c r="X55" s="969"/>
    </row>
    <row r="56" spans="1:24" ht="31.5" x14ac:dyDescent="0.25">
      <c r="A56" s="638"/>
      <c r="B56" s="175" t="s">
        <v>768</v>
      </c>
      <c r="C56" s="446"/>
      <c r="D56" s="446"/>
      <c r="E56" s="171"/>
      <c r="F56" s="446"/>
      <c r="G56" s="172"/>
      <c r="H56" s="173"/>
      <c r="I56" s="980"/>
      <c r="J56" s="171"/>
      <c r="K56" s="446">
        <v>14058</v>
      </c>
      <c r="L56" s="172"/>
      <c r="M56" s="173"/>
      <c r="N56" s="983"/>
      <c r="O56" s="171"/>
      <c r="P56" s="446">
        <v>14058</v>
      </c>
      <c r="Q56" s="172"/>
      <c r="R56" s="173"/>
      <c r="S56" s="983"/>
      <c r="T56" s="171"/>
      <c r="U56" s="446">
        <v>14058</v>
      </c>
      <c r="V56" s="172"/>
      <c r="W56" s="826"/>
      <c r="X56" s="969"/>
    </row>
    <row r="57" spans="1:24" ht="31.5" x14ac:dyDescent="0.25">
      <c r="A57" s="638">
        <v>53500</v>
      </c>
      <c r="B57" s="175" t="s">
        <v>769</v>
      </c>
      <c r="C57" s="446"/>
      <c r="D57" s="446"/>
      <c r="E57" s="171"/>
      <c r="F57" s="446"/>
      <c r="G57" s="172">
        <f t="shared" si="0"/>
        <v>0</v>
      </c>
      <c r="H57" s="173" t="str">
        <f t="shared" si="1"/>
        <v>-</v>
      </c>
      <c r="I57" s="980"/>
      <c r="J57" s="171"/>
      <c r="K57" s="446"/>
      <c r="L57" s="172">
        <f t="shared" si="2"/>
        <v>0</v>
      </c>
      <c r="M57" s="173" t="str">
        <f t="shared" si="3"/>
        <v>-</v>
      </c>
      <c r="N57" s="983"/>
      <c r="O57" s="171"/>
      <c r="P57" s="446"/>
      <c r="Q57" s="172">
        <f t="shared" si="4"/>
        <v>0</v>
      </c>
      <c r="R57" s="173" t="str">
        <f t="shared" si="5"/>
        <v>-</v>
      </c>
      <c r="S57" s="983"/>
      <c r="T57" s="171"/>
      <c r="U57" s="446"/>
      <c r="V57" s="172">
        <f t="shared" si="6"/>
        <v>0</v>
      </c>
      <c r="W57" s="826" t="str">
        <f t="shared" si="7"/>
        <v>-</v>
      </c>
      <c r="X57" s="969"/>
    </row>
    <row r="58" spans="1:24" ht="31.5" x14ac:dyDescent="0.25">
      <c r="A58" s="639">
        <v>53600</v>
      </c>
      <c r="B58" s="175" t="s">
        <v>770</v>
      </c>
      <c r="C58" s="446"/>
      <c r="D58" s="446"/>
      <c r="E58" s="171"/>
      <c r="F58" s="446"/>
      <c r="G58" s="172">
        <f t="shared" si="0"/>
        <v>0</v>
      </c>
      <c r="H58" s="173" t="str">
        <f t="shared" si="1"/>
        <v>-</v>
      </c>
      <c r="I58" s="981"/>
      <c r="J58" s="171"/>
      <c r="K58" s="446"/>
      <c r="L58" s="172">
        <f t="shared" si="2"/>
        <v>0</v>
      </c>
      <c r="M58" s="173" t="str">
        <f t="shared" si="3"/>
        <v>-</v>
      </c>
      <c r="N58" s="983"/>
      <c r="O58" s="171"/>
      <c r="P58" s="446"/>
      <c r="Q58" s="172">
        <f t="shared" si="4"/>
        <v>0</v>
      </c>
      <c r="R58" s="173" t="str">
        <f t="shared" si="5"/>
        <v>-</v>
      </c>
      <c r="S58" s="983"/>
      <c r="T58" s="171"/>
      <c r="U58" s="446"/>
      <c r="V58" s="172">
        <f t="shared" si="6"/>
        <v>0</v>
      </c>
      <c r="W58" s="826" t="str">
        <f t="shared" si="7"/>
        <v>-</v>
      </c>
      <c r="X58" s="970"/>
    </row>
    <row r="59" spans="1:24" x14ac:dyDescent="0.25">
      <c r="A59" s="156">
        <v>50000</v>
      </c>
      <c r="B59" s="150" t="s">
        <v>771</v>
      </c>
      <c r="C59" s="460">
        <f>C16+C8+C3</f>
        <v>1908351</v>
      </c>
      <c r="D59" s="460">
        <f>D16+D8+D3</f>
        <v>1019130</v>
      </c>
      <c r="E59" s="94">
        <f ca="1">E3+E16+E8</f>
        <v>344725</v>
      </c>
      <c r="F59" s="460">
        <f ca="1">F3+F16+F8</f>
        <v>261176</v>
      </c>
      <c r="G59" s="95">
        <f t="shared" ca="1" si="0"/>
        <v>-83549</v>
      </c>
      <c r="H59" s="29">
        <f t="shared" ca="1" si="1"/>
        <v>-0.24236420335049677</v>
      </c>
      <c r="I59" s="380"/>
      <c r="J59" s="94">
        <f>J3+J16+J8</f>
        <v>659130</v>
      </c>
      <c r="K59" s="451">
        <f ca="1">K3+K16+K8</f>
        <v>891944</v>
      </c>
      <c r="L59" s="95">
        <f t="shared" ca="1" si="2"/>
        <v>232814</v>
      </c>
      <c r="M59" s="29">
        <f t="shared" ca="1" si="3"/>
        <v>0.35321408523356546</v>
      </c>
      <c r="N59" s="380"/>
      <c r="O59" s="94">
        <f>O3+O16+O8</f>
        <v>809130</v>
      </c>
      <c r="P59" s="94">
        <f ca="1">P3+P16+P8</f>
        <v>1209249</v>
      </c>
      <c r="Q59" s="95">
        <f t="shared" ca="1" si="4"/>
        <v>400119</v>
      </c>
      <c r="R59" s="29">
        <f t="shared" ca="1" si="5"/>
        <v>0.49450520929887659</v>
      </c>
      <c r="S59" s="380"/>
      <c r="T59" s="94">
        <f>T3+T8+T16</f>
        <v>1019130</v>
      </c>
      <c r="U59" s="94">
        <f ca="1">U3+U16+U8</f>
        <v>1896469.53</v>
      </c>
      <c r="V59" s="95">
        <f t="shared" ca="1" si="6"/>
        <v>877339.53</v>
      </c>
      <c r="W59" s="818">
        <f t="shared" ca="1" si="7"/>
        <v>0.86087106649789524</v>
      </c>
      <c r="X59" s="827"/>
    </row>
    <row r="60" spans="1:24" x14ac:dyDescent="0.25">
      <c r="A60" s="233"/>
      <c r="B60" s="234"/>
      <c r="C60" s="461"/>
    </row>
    <row r="61" spans="1:24" x14ac:dyDescent="0.25">
      <c r="A61" s="30" t="s">
        <v>290</v>
      </c>
    </row>
    <row r="62" spans="1:24" ht="64.5" customHeight="1" x14ac:dyDescent="0.25">
      <c r="A62" s="926" t="s">
        <v>332</v>
      </c>
      <c r="B62" s="926"/>
      <c r="C62" s="926"/>
      <c r="D62" s="926"/>
      <c r="E62" s="926"/>
      <c r="F62" s="926"/>
      <c r="G62" s="926"/>
      <c r="H62" s="236"/>
      <c r="I62" s="236"/>
      <c r="J62" s="236"/>
    </row>
    <row r="63" spans="1:24" ht="78.75" customHeight="1" x14ac:dyDescent="0.25">
      <c r="A63" s="901" t="s">
        <v>772</v>
      </c>
      <c r="B63" s="901"/>
      <c r="C63" s="901"/>
      <c r="D63" s="901"/>
      <c r="E63" s="901"/>
    </row>
    <row r="64" spans="1:24" x14ac:dyDescent="0.25">
      <c r="A64" s="235"/>
      <c r="B64" s="235"/>
      <c r="C64" s="462"/>
      <c r="D64" s="462"/>
    </row>
  </sheetData>
  <sheetProtection formatColumns="0" formatRows="0" insertRows="0" deleteRows="0"/>
  <mergeCells count="15">
    <mergeCell ref="Y34:Y38"/>
    <mergeCell ref="X16:X58"/>
    <mergeCell ref="A62:G62"/>
    <mergeCell ref="A63:E63"/>
    <mergeCell ref="I3:I7"/>
    <mergeCell ref="I8:I15"/>
    <mergeCell ref="N3:N7"/>
    <mergeCell ref="S3:S7"/>
    <mergeCell ref="X3:X7"/>
    <mergeCell ref="N8:N15"/>
    <mergeCell ref="S8:S15"/>
    <mergeCell ref="X8:X15"/>
    <mergeCell ref="I16:I58"/>
    <mergeCell ref="N16:N58"/>
    <mergeCell ref="S16:S58"/>
  </mergeCells>
  <phoneticPr fontId="49" type="noConversion"/>
  <pageMargins left="0.23622047244094491" right="0.23622047244094491" top="0.74803149606299213" bottom="0.74803149606299213" header="0.31496062992125984" footer="0.31496062992125984"/>
  <pageSetup paperSize="9" scale="64" fitToWidth="0" fitToHeight="0" orientation="portrait" r:id="rId1"/>
  <headerFooter>
    <oddHeader xml:space="preserve">&amp;C&amp;"Times New Roman,Bold"&amp;14Ieguldījumu tāme&amp;R&amp;"Times New Roman,Regular"&amp;14 6.pielikums
 </oddHeader>
    <oddFooter>&amp;C&amp;"Times New Roman,Regular"&amp;12&amp;F &amp;A&amp;R&amp;"Times New Roman,Regular"&amp;14&amp;P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C4DBF-FFBC-40C1-A4FF-7AF98AA06419}">
  <sheetPr>
    <tabColor rgb="FF92D050"/>
    <pageSetUpPr fitToPage="1"/>
  </sheetPr>
  <dimension ref="A1:G130"/>
  <sheetViews>
    <sheetView workbookViewId="0">
      <selection activeCell="G21" sqref="G21"/>
    </sheetView>
  </sheetViews>
  <sheetFormatPr defaultColWidth="9.140625" defaultRowHeight="15.75" x14ac:dyDescent="0.2"/>
  <cols>
    <col min="1" max="1" width="8.7109375" style="404" bestFit="1" customWidth="1"/>
    <col min="2" max="2" width="48" style="387" customWidth="1"/>
    <col min="3" max="3" width="19.85546875" style="740" customWidth="1"/>
    <col min="4" max="6" width="17.5703125" style="455" customWidth="1"/>
    <col min="7" max="7" width="43.42578125" style="455" customWidth="1"/>
    <col min="8" max="8" width="9.140625" style="387"/>
    <col min="9" max="9" width="45" style="387" customWidth="1"/>
    <col min="10" max="16384" width="9.140625" style="387"/>
  </cols>
  <sheetData>
    <row r="1" spans="1:7" ht="47.25" x14ac:dyDescent="0.2">
      <c r="A1" s="17" t="s">
        <v>773</v>
      </c>
      <c r="B1" s="704">
        <f>+C29+C30+C31</f>
        <v>0</v>
      </c>
      <c r="C1" s="453" t="s">
        <v>774</v>
      </c>
      <c r="D1" s="453" t="s">
        <v>775</v>
      </c>
      <c r="E1" s="453" t="s">
        <v>776</v>
      </c>
      <c r="F1" s="453" t="s">
        <v>777</v>
      </c>
      <c r="G1" s="454" t="s">
        <v>778</v>
      </c>
    </row>
    <row r="2" spans="1:7" ht="12" customHeight="1" x14ac:dyDescent="0.2">
      <c r="A2" s="17" t="s">
        <v>779</v>
      </c>
      <c r="B2" s="386">
        <v>2</v>
      </c>
      <c r="C2" s="453">
        <v>3</v>
      </c>
      <c r="D2" s="453">
        <v>4</v>
      </c>
      <c r="E2" s="453">
        <v>5</v>
      </c>
      <c r="F2" s="453">
        <v>6</v>
      </c>
      <c r="G2" s="454">
        <v>7</v>
      </c>
    </row>
    <row r="3" spans="1:7" s="390" customFormat="1" ht="18" customHeight="1" x14ac:dyDescent="0.2">
      <c r="A3" s="388"/>
      <c r="B3" s="389" t="s">
        <v>405</v>
      </c>
      <c r="C3" s="851">
        <f>C4+C33</f>
        <v>15203669</v>
      </c>
      <c r="D3" s="669"/>
      <c r="E3" s="669"/>
      <c r="F3" s="669"/>
      <c r="G3" s="669"/>
    </row>
    <row r="4" spans="1:7" s="390" customFormat="1" ht="18" customHeight="1" x14ac:dyDescent="0.2">
      <c r="A4" s="391" t="s">
        <v>780</v>
      </c>
      <c r="B4" s="44" t="s">
        <v>406</v>
      </c>
      <c r="C4" s="850">
        <f>C5+C9+C13+C26</f>
        <v>8294067</v>
      </c>
      <c r="D4" s="670"/>
      <c r="E4" s="671"/>
      <c r="F4" s="672"/>
      <c r="G4" s="672"/>
    </row>
    <row r="5" spans="1:7" s="390" customFormat="1" ht="18" customHeight="1" x14ac:dyDescent="0.2">
      <c r="A5" s="392" t="s">
        <v>781</v>
      </c>
      <c r="B5" s="393" t="s">
        <v>408</v>
      </c>
      <c r="C5" s="405"/>
      <c r="D5" s="673"/>
      <c r="E5" s="674"/>
      <c r="F5" s="675"/>
      <c r="G5" s="675"/>
    </row>
    <row r="6" spans="1:7" s="390" customFormat="1" ht="18" customHeight="1" x14ac:dyDescent="0.2">
      <c r="A6" s="394" t="s">
        <v>782</v>
      </c>
      <c r="B6" s="16" t="s">
        <v>783</v>
      </c>
      <c r="C6" s="406"/>
      <c r="D6" s="676"/>
      <c r="E6" s="677"/>
      <c r="F6" s="678"/>
      <c r="G6" s="678"/>
    </row>
    <row r="7" spans="1:7" s="390" customFormat="1" ht="18" customHeight="1" x14ac:dyDescent="0.2">
      <c r="A7" s="394" t="s">
        <v>784</v>
      </c>
      <c r="B7" s="16" t="s">
        <v>783</v>
      </c>
      <c r="C7" s="406"/>
      <c r="D7" s="676"/>
      <c r="E7" s="677"/>
      <c r="F7" s="678"/>
      <c r="G7" s="678"/>
    </row>
    <row r="8" spans="1:7" s="390" customFormat="1" ht="18" customHeight="1" x14ac:dyDescent="0.2">
      <c r="A8" s="394" t="s">
        <v>785</v>
      </c>
      <c r="B8" s="16" t="s">
        <v>783</v>
      </c>
      <c r="C8" s="406"/>
      <c r="D8" s="676"/>
      <c r="E8" s="677"/>
      <c r="F8" s="678"/>
      <c r="G8" s="678"/>
    </row>
    <row r="9" spans="1:7" s="390" customFormat="1" ht="18" customHeight="1" x14ac:dyDescent="0.2">
      <c r="A9" s="392" t="s">
        <v>786</v>
      </c>
      <c r="B9" s="393" t="s">
        <v>409</v>
      </c>
      <c r="C9" s="405"/>
      <c r="D9" s="673"/>
      <c r="E9" s="674"/>
      <c r="F9" s="675"/>
      <c r="G9" s="675"/>
    </row>
    <row r="10" spans="1:7" s="390" customFormat="1" ht="18" customHeight="1" x14ac:dyDescent="0.2">
      <c r="A10" s="394" t="s">
        <v>787</v>
      </c>
      <c r="B10" s="16" t="s">
        <v>783</v>
      </c>
      <c r="C10" s="406"/>
      <c r="D10" s="676"/>
      <c r="E10" s="677"/>
      <c r="F10" s="678"/>
      <c r="G10" s="678"/>
    </row>
    <row r="11" spans="1:7" s="390" customFormat="1" ht="18" customHeight="1" x14ac:dyDescent="0.2">
      <c r="A11" s="394" t="s">
        <v>788</v>
      </c>
      <c r="B11" s="16" t="s">
        <v>783</v>
      </c>
      <c r="C11" s="406"/>
      <c r="D11" s="676"/>
      <c r="E11" s="677"/>
      <c r="F11" s="678"/>
      <c r="G11" s="678"/>
    </row>
    <row r="12" spans="1:7" s="390" customFormat="1" ht="18" customHeight="1" x14ac:dyDescent="0.2">
      <c r="A12" s="394" t="s">
        <v>785</v>
      </c>
      <c r="B12" s="16" t="s">
        <v>783</v>
      </c>
      <c r="C12" s="406"/>
      <c r="D12" s="676"/>
      <c r="E12" s="677"/>
      <c r="F12" s="678"/>
      <c r="G12" s="678"/>
    </row>
    <row r="13" spans="1:7" s="390" customFormat="1" ht="18" customHeight="1" x14ac:dyDescent="0.2">
      <c r="A13" s="392" t="s">
        <v>789</v>
      </c>
      <c r="B13" s="435" t="s">
        <v>414</v>
      </c>
      <c r="C13" s="840">
        <f>C14+C15+C16+C17+C18+C19+C20+C21+C22+C23</f>
        <v>8211852</v>
      </c>
      <c r="D13" s="673"/>
      <c r="E13" s="674"/>
      <c r="F13" s="675"/>
      <c r="G13" s="675"/>
    </row>
    <row r="14" spans="1:7" s="390" customFormat="1" x14ac:dyDescent="0.2">
      <c r="A14" s="434" t="s">
        <v>790</v>
      </c>
      <c r="B14" s="657" t="s">
        <v>791</v>
      </c>
      <c r="C14" s="841">
        <v>306903</v>
      </c>
      <c r="D14" s="680"/>
      <c r="E14" s="677"/>
      <c r="F14" s="678"/>
      <c r="G14" s="678"/>
    </row>
    <row r="15" spans="1:7" s="390" customFormat="1" ht="25.5" x14ac:dyDescent="0.2">
      <c r="A15" s="434" t="s">
        <v>792</v>
      </c>
      <c r="B15" s="657" t="s">
        <v>793</v>
      </c>
      <c r="C15" s="841">
        <v>1145809</v>
      </c>
      <c r="E15" s="677"/>
      <c r="F15" s="678"/>
      <c r="G15" s="678"/>
    </row>
    <row r="16" spans="1:7" s="390" customFormat="1" ht="25.5" x14ac:dyDescent="0.2">
      <c r="A16" s="434" t="s">
        <v>785</v>
      </c>
      <c r="B16" s="657" t="s">
        <v>794</v>
      </c>
      <c r="C16" s="841">
        <v>1981363</v>
      </c>
      <c r="D16" s="679"/>
      <c r="E16" s="677"/>
      <c r="F16" s="678"/>
      <c r="G16" s="678"/>
    </row>
    <row r="17" spans="1:7" s="390" customFormat="1" x14ac:dyDescent="0.2">
      <c r="A17" s="434"/>
      <c r="B17" s="657" t="s">
        <v>795</v>
      </c>
      <c r="C17" s="841">
        <v>881010</v>
      </c>
      <c r="D17" s="680"/>
      <c r="E17" s="677"/>
      <c r="F17" s="678"/>
      <c r="G17" s="678"/>
    </row>
    <row r="18" spans="1:7" s="390" customFormat="1" ht="18" customHeight="1" x14ac:dyDescent="0.2">
      <c r="A18" s="434"/>
      <c r="B18" s="657" t="s">
        <v>796</v>
      </c>
      <c r="C18" s="841">
        <v>563001</v>
      </c>
      <c r="D18" s="680"/>
      <c r="E18" s="677"/>
      <c r="F18" s="678"/>
      <c r="G18" s="678"/>
    </row>
    <row r="19" spans="1:7" s="390" customFormat="1" ht="18" customHeight="1" x14ac:dyDescent="0.2">
      <c r="A19" s="434"/>
      <c r="B19" s="657" t="s">
        <v>797</v>
      </c>
      <c r="C19" s="841">
        <v>27733</v>
      </c>
      <c r="D19" s="680"/>
      <c r="E19" s="677"/>
      <c r="F19" s="678"/>
      <c r="G19" s="678"/>
    </row>
    <row r="20" spans="1:7" s="390" customFormat="1" ht="18" customHeight="1" x14ac:dyDescent="0.2">
      <c r="A20" s="434"/>
      <c r="B20" s="657" t="s">
        <v>798</v>
      </c>
      <c r="C20" s="841">
        <v>19575</v>
      </c>
      <c r="D20" s="680"/>
      <c r="E20" s="677"/>
      <c r="F20" s="678"/>
      <c r="G20" s="678"/>
    </row>
    <row r="21" spans="1:7" s="390" customFormat="1" ht="18" customHeight="1" x14ac:dyDescent="0.2">
      <c r="A21" s="434"/>
      <c r="B21" s="658" t="s">
        <v>799</v>
      </c>
      <c r="C21" s="841">
        <v>0</v>
      </c>
      <c r="D21" s="680"/>
      <c r="E21" s="677"/>
      <c r="F21" s="678"/>
      <c r="G21" s="678"/>
    </row>
    <row r="22" spans="1:7" s="390" customFormat="1" ht="18" customHeight="1" x14ac:dyDescent="0.2">
      <c r="A22" s="434"/>
      <c r="B22" s="657" t="s">
        <v>800</v>
      </c>
      <c r="C22" s="841">
        <v>2008635</v>
      </c>
      <c r="D22" s="680"/>
      <c r="E22" s="677"/>
      <c r="F22" s="678"/>
      <c r="G22" s="678"/>
    </row>
    <row r="23" spans="1:7" s="390" customFormat="1" ht="18" customHeight="1" x14ac:dyDescent="0.2">
      <c r="A23" s="434"/>
      <c r="B23" s="657" t="s">
        <v>801</v>
      </c>
      <c r="C23" s="842">
        <f>1274556+3267</f>
        <v>1277823</v>
      </c>
      <c r="D23" s="676"/>
      <c r="E23" s="677"/>
      <c r="F23" s="678"/>
      <c r="G23" s="678"/>
    </row>
    <row r="24" spans="1:7" s="390" customFormat="1" ht="18" customHeight="1" x14ac:dyDescent="0.2">
      <c r="A24" s="434"/>
      <c r="B24" s="420"/>
      <c r="C24" s="681"/>
      <c r="D24" s="676"/>
      <c r="E24" s="677"/>
      <c r="F24" s="678"/>
      <c r="G24" s="678"/>
    </row>
    <row r="25" spans="1:7" s="390" customFormat="1" ht="18" customHeight="1" x14ac:dyDescent="0.2">
      <c r="A25" s="394"/>
      <c r="B25" s="205"/>
      <c r="C25" s="406"/>
      <c r="D25" s="676"/>
      <c r="E25" s="677"/>
      <c r="F25" s="678"/>
      <c r="G25" s="678"/>
    </row>
    <row r="26" spans="1:7" s="390" customFormat="1" ht="18" customHeight="1" x14ac:dyDescent="0.2">
      <c r="A26" s="392" t="s">
        <v>802</v>
      </c>
      <c r="B26" s="393" t="s">
        <v>803</v>
      </c>
      <c r="C26" s="836">
        <f>C27+C28+C29+C30+C31</f>
        <v>82215</v>
      </c>
      <c r="D26" s="705"/>
      <c r="E26" s="706"/>
      <c r="F26" s="707"/>
      <c r="G26" s="707"/>
    </row>
    <row r="27" spans="1:7" s="390" customFormat="1" ht="18" customHeight="1" x14ac:dyDescent="0.2">
      <c r="A27" s="395" t="s">
        <v>804</v>
      </c>
      <c r="B27" s="649" t="s">
        <v>805</v>
      </c>
      <c r="C27" s="838">
        <v>82215</v>
      </c>
      <c r="D27" s="708">
        <v>82215</v>
      </c>
      <c r="E27" s="708"/>
      <c r="F27" s="708">
        <v>82215</v>
      </c>
      <c r="G27" s="708" t="s">
        <v>806</v>
      </c>
    </row>
    <row r="28" spans="1:7" s="390" customFormat="1" ht="18" customHeight="1" x14ac:dyDescent="0.2">
      <c r="A28" s="395" t="s">
        <v>807</v>
      </c>
      <c r="B28" s="649"/>
      <c r="C28" s="739"/>
      <c r="D28" s="708"/>
      <c r="E28" s="708"/>
      <c r="F28" s="708"/>
      <c r="G28" s="708"/>
    </row>
    <row r="29" spans="1:7" s="390" customFormat="1" ht="18" customHeight="1" x14ac:dyDescent="0.2">
      <c r="A29" s="395" t="s">
        <v>808</v>
      </c>
      <c r="B29" s="649"/>
      <c r="C29" s="739"/>
      <c r="D29" s="708"/>
      <c r="E29" s="708"/>
      <c r="F29" s="708"/>
      <c r="G29" s="708"/>
    </row>
    <row r="30" spans="1:7" s="390" customFormat="1" ht="18" customHeight="1" x14ac:dyDescent="0.2">
      <c r="A30" s="395" t="s">
        <v>809</v>
      </c>
      <c r="B30" s="649"/>
      <c r="C30" s="739"/>
      <c r="D30" s="708"/>
      <c r="E30" s="708"/>
      <c r="F30" s="708"/>
      <c r="G30" s="708"/>
    </row>
    <row r="31" spans="1:7" s="390" customFormat="1" ht="18" customHeight="1" x14ac:dyDescent="0.2">
      <c r="A31" s="395" t="s">
        <v>810</v>
      </c>
      <c r="B31" s="649"/>
      <c r="C31" s="739"/>
      <c r="D31" s="708"/>
      <c r="E31" s="708"/>
      <c r="F31" s="708"/>
      <c r="G31" s="708"/>
    </row>
    <row r="32" spans="1:7" s="390" customFormat="1" ht="18" customHeight="1" x14ac:dyDescent="0.2">
      <c r="A32" s="395" t="s">
        <v>785</v>
      </c>
      <c r="B32" s="15" t="s">
        <v>783</v>
      </c>
      <c r="C32" s="407"/>
      <c r="D32" s="682"/>
      <c r="E32" s="683"/>
      <c r="F32" s="684"/>
      <c r="G32" s="684"/>
    </row>
    <row r="33" spans="1:7" s="390" customFormat="1" ht="43.5" customHeight="1" x14ac:dyDescent="0.2">
      <c r="A33" s="391" t="s">
        <v>811</v>
      </c>
      <c r="B33" s="44" t="s">
        <v>417</v>
      </c>
      <c r="C33" s="849">
        <f>C42+C52+C61+C68+C73+C89</f>
        <v>6909602</v>
      </c>
      <c r="D33" s="670"/>
      <c r="E33" s="671"/>
      <c r="F33" s="672"/>
      <c r="G33" s="672"/>
    </row>
    <row r="34" spans="1:7" s="390" customFormat="1" ht="18" customHeight="1" x14ac:dyDescent="0.2">
      <c r="A34" s="392" t="s">
        <v>812</v>
      </c>
      <c r="B34" s="393" t="s">
        <v>408</v>
      </c>
      <c r="C34" s="405"/>
      <c r="D34" s="673"/>
      <c r="E34" s="674"/>
      <c r="F34" s="675"/>
      <c r="G34" s="675"/>
    </row>
    <row r="35" spans="1:7" s="390" customFormat="1" ht="18" customHeight="1" x14ac:dyDescent="0.2">
      <c r="A35" s="395" t="s">
        <v>813</v>
      </c>
      <c r="B35" s="15" t="s">
        <v>783</v>
      </c>
      <c r="C35" s="407"/>
      <c r="D35" s="682"/>
      <c r="E35" s="683"/>
      <c r="F35" s="684"/>
      <c r="G35" s="684"/>
    </row>
    <row r="36" spans="1:7" s="390" customFormat="1" ht="18" customHeight="1" x14ac:dyDescent="0.2">
      <c r="A36" s="395" t="s">
        <v>814</v>
      </c>
      <c r="B36" s="15" t="s">
        <v>783</v>
      </c>
      <c r="C36" s="407"/>
      <c r="D36" s="682"/>
      <c r="E36" s="683"/>
      <c r="F36" s="684"/>
      <c r="G36" s="684"/>
    </row>
    <row r="37" spans="1:7" s="390" customFormat="1" ht="18" customHeight="1" x14ac:dyDescent="0.2">
      <c r="A37" s="395" t="s">
        <v>785</v>
      </c>
      <c r="B37" s="15" t="s">
        <v>783</v>
      </c>
      <c r="C37" s="407"/>
      <c r="D37" s="682"/>
      <c r="E37" s="683"/>
      <c r="F37" s="684"/>
      <c r="G37" s="684"/>
    </row>
    <row r="38" spans="1:7" s="390" customFormat="1" ht="18" customHeight="1" x14ac:dyDescent="0.2">
      <c r="A38" s="392" t="s">
        <v>815</v>
      </c>
      <c r="B38" s="393" t="s">
        <v>409</v>
      </c>
      <c r="C38" s="405"/>
      <c r="D38" s="674"/>
      <c r="E38" s="674"/>
      <c r="F38" s="675"/>
      <c r="G38" s="675"/>
    </row>
    <row r="39" spans="1:7" s="390" customFormat="1" ht="18" customHeight="1" x14ac:dyDescent="0.2">
      <c r="A39" s="394" t="s">
        <v>816</v>
      </c>
      <c r="B39" s="16" t="s">
        <v>783</v>
      </c>
      <c r="C39" s="406"/>
      <c r="D39" s="677"/>
      <c r="E39" s="677"/>
      <c r="F39" s="678"/>
      <c r="G39" s="678"/>
    </row>
    <row r="40" spans="1:7" s="390" customFormat="1" ht="18" customHeight="1" x14ac:dyDescent="0.2">
      <c r="A40" s="394" t="s">
        <v>817</v>
      </c>
      <c r="B40" s="16" t="s">
        <v>783</v>
      </c>
      <c r="C40" s="406"/>
      <c r="D40" s="677"/>
      <c r="E40" s="677"/>
      <c r="F40" s="678"/>
      <c r="G40" s="678"/>
    </row>
    <row r="41" spans="1:7" s="390" customFormat="1" ht="18" customHeight="1" x14ac:dyDescent="0.2">
      <c r="A41" s="394" t="s">
        <v>785</v>
      </c>
      <c r="B41" s="16" t="s">
        <v>783</v>
      </c>
      <c r="C41" s="406"/>
      <c r="D41" s="677"/>
      <c r="E41" s="677"/>
      <c r="F41" s="678"/>
      <c r="G41" s="678"/>
    </row>
    <row r="42" spans="1:7" s="390" customFormat="1" ht="18" customHeight="1" x14ac:dyDescent="0.2">
      <c r="A42" s="392" t="s">
        <v>818</v>
      </c>
      <c r="B42" s="393" t="s">
        <v>819</v>
      </c>
      <c r="C42" s="836">
        <f>C43</f>
        <v>17805</v>
      </c>
      <c r="D42" s="706"/>
      <c r="E42" s="710"/>
      <c r="F42" s="707"/>
      <c r="G42" s="707"/>
    </row>
    <row r="43" spans="1:7" s="390" customFormat="1" ht="25.5" x14ac:dyDescent="0.2">
      <c r="A43" s="395" t="s">
        <v>820</v>
      </c>
      <c r="B43" s="653" t="s">
        <v>821</v>
      </c>
      <c r="C43" s="709">
        <v>17805</v>
      </c>
      <c r="D43" s="709"/>
      <c r="E43" s="709"/>
      <c r="F43" s="709"/>
      <c r="G43" s="709" t="s">
        <v>822</v>
      </c>
    </row>
    <row r="44" spans="1:7" s="390" customFormat="1" ht="18" customHeight="1" x14ac:dyDescent="0.2">
      <c r="A44" s="395" t="s">
        <v>823</v>
      </c>
      <c r="B44" s="393"/>
      <c r="C44" s="405"/>
      <c r="D44" s="674"/>
      <c r="E44" s="677"/>
      <c r="F44" s="675"/>
      <c r="G44" s="675"/>
    </row>
    <row r="45" spans="1:7" s="390" customFormat="1" ht="18" customHeight="1" x14ac:dyDescent="0.2">
      <c r="A45" s="395" t="s">
        <v>785</v>
      </c>
      <c r="B45" s="393"/>
      <c r="C45" s="405"/>
      <c r="D45" s="674"/>
      <c r="E45" s="677"/>
      <c r="F45" s="675"/>
      <c r="G45" s="675"/>
    </row>
    <row r="46" spans="1:7" s="390" customFormat="1" ht="18" customHeight="1" x14ac:dyDescent="0.2">
      <c r="A46" s="392"/>
      <c r="B46" s="393"/>
      <c r="C46" s="405"/>
      <c r="D46" s="674"/>
      <c r="E46" s="677"/>
      <c r="F46" s="675"/>
      <c r="G46" s="675"/>
    </row>
    <row r="47" spans="1:7" s="390" customFormat="1" ht="18" hidden="1" customHeight="1" x14ac:dyDescent="0.25">
      <c r="A47" s="420"/>
      <c r="B47" s="396"/>
      <c r="C47" s="421"/>
      <c r="D47" s="683"/>
      <c r="E47" s="683"/>
      <c r="F47" s="684"/>
      <c r="G47" s="684"/>
    </row>
    <row r="48" spans="1:7" s="390" customFormat="1" ht="18" hidden="1" customHeight="1" x14ac:dyDescent="0.25">
      <c r="A48" s="420"/>
      <c r="B48" s="396"/>
      <c r="C48" s="421"/>
      <c r="D48" s="683"/>
      <c r="E48" s="683"/>
      <c r="F48" s="684"/>
      <c r="G48" s="684"/>
    </row>
    <row r="49" spans="1:7" s="390" customFormat="1" ht="18" hidden="1" customHeight="1" x14ac:dyDescent="0.25">
      <c r="A49" s="420"/>
      <c r="B49" s="396"/>
      <c r="C49" s="421"/>
      <c r="D49" s="685"/>
      <c r="E49" s="685"/>
      <c r="F49" s="686"/>
      <c r="G49" s="686"/>
    </row>
    <row r="50" spans="1:7" s="390" customFormat="1" ht="18" hidden="1" customHeight="1" x14ac:dyDescent="0.25">
      <c r="A50" s="395"/>
      <c r="B50" s="396"/>
      <c r="C50" s="421"/>
      <c r="D50" s="685"/>
      <c r="E50" s="685"/>
      <c r="F50" s="686"/>
      <c r="G50" s="686"/>
    </row>
    <row r="51" spans="1:7" s="390" customFormat="1" ht="18" hidden="1" customHeight="1" x14ac:dyDescent="0.25">
      <c r="A51" s="395"/>
      <c r="B51" s="396"/>
      <c r="C51" s="647"/>
      <c r="D51" s="687"/>
      <c r="E51" s="687"/>
      <c r="F51" s="688"/>
      <c r="G51" s="686"/>
    </row>
    <row r="52" spans="1:7" s="390" customFormat="1" ht="42" customHeight="1" x14ac:dyDescent="0.2">
      <c r="A52" s="392" t="s">
        <v>824</v>
      </c>
      <c r="B52" s="646" t="s">
        <v>825</v>
      </c>
      <c r="C52" s="848">
        <f>C53+C54+C55+C56+C57+C58</f>
        <v>2777157</v>
      </c>
      <c r="D52" s="742">
        <f>D53+D54+D55+D56+D57+D58</f>
        <v>909483</v>
      </c>
      <c r="E52" s="742">
        <f>E53+E54+E55+E56+E57+E58</f>
        <v>909483</v>
      </c>
      <c r="F52" s="743"/>
      <c r="G52" s="711"/>
    </row>
    <row r="53" spans="1:7" s="390" customFormat="1" ht="18" customHeight="1" x14ac:dyDescent="0.2">
      <c r="A53" s="434" t="s">
        <v>826</v>
      </c>
      <c r="B53" s="655" t="s">
        <v>827</v>
      </c>
      <c r="C53" s="847">
        <v>595397</v>
      </c>
      <c r="D53" s="852">
        <v>239073</v>
      </c>
      <c r="E53" s="843">
        <v>239073</v>
      </c>
      <c r="F53" s="845"/>
      <c r="G53" s="712" t="s">
        <v>828</v>
      </c>
    </row>
    <row r="54" spans="1:7" s="390" customFormat="1" ht="18" customHeight="1" x14ac:dyDescent="0.2">
      <c r="A54" s="434" t="s">
        <v>829</v>
      </c>
      <c r="B54" s="655" t="s">
        <v>830</v>
      </c>
      <c r="C54" s="698">
        <v>446510</v>
      </c>
      <c r="D54" s="846">
        <f>149894+2000</f>
        <v>151894</v>
      </c>
      <c r="E54" s="757">
        <f>149894+2000</f>
        <v>151894</v>
      </c>
      <c r="F54" s="852"/>
      <c r="G54" s="712" t="s">
        <v>831</v>
      </c>
    </row>
    <row r="55" spans="1:7" s="390" customFormat="1" ht="19.5" customHeight="1" x14ac:dyDescent="0.2">
      <c r="A55" s="434"/>
      <c r="B55" s="655" t="s">
        <v>832</v>
      </c>
      <c r="C55" s="698">
        <v>208502</v>
      </c>
      <c r="D55" s="843">
        <v>52955</v>
      </c>
      <c r="E55" s="757">
        <v>52955</v>
      </c>
      <c r="F55" s="852"/>
      <c r="G55" s="712" t="s">
        <v>828</v>
      </c>
    </row>
    <row r="56" spans="1:7" s="390" customFormat="1" ht="18" customHeight="1" x14ac:dyDescent="0.2">
      <c r="A56" s="434"/>
      <c r="B56" s="655" t="s">
        <v>833</v>
      </c>
      <c r="C56" s="698">
        <v>200684</v>
      </c>
      <c r="D56" s="843">
        <v>160432</v>
      </c>
      <c r="E56" s="757">
        <v>160432</v>
      </c>
      <c r="F56" s="852"/>
      <c r="G56" s="746" t="s">
        <v>828</v>
      </c>
    </row>
    <row r="57" spans="1:7" s="390" customFormat="1" ht="18" customHeight="1" x14ac:dyDescent="0.2">
      <c r="A57" s="741"/>
      <c r="B57" s="655" t="s">
        <v>834</v>
      </c>
      <c r="C57" s="698">
        <v>110197</v>
      </c>
      <c r="D57" s="843">
        <v>19918</v>
      </c>
      <c r="E57" s="757">
        <v>19918</v>
      </c>
      <c r="F57" s="852"/>
      <c r="G57" s="844" t="s">
        <v>828</v>
      </c>
    </row>
    <row r="58" spans="1:7" s="390" customFormat="1" ht="18.75" customHeight="1" x14ac:dyDescent="0.2">
      <c r="A58" s="434"/>
      <c r="B58" s="656" t="s">
        <v>835</v>
      </c>
      <c r="C58" s="744">
        <v>1215867</v>
      </c>
      <c r="D58" s="744">
        <v>285211</v>
      </c>
      <c r="E58" s="744">
        <v>285211</v>
      </c>
      <c r="F58" s="745"/>
      <c r="G58" s="712" t="s">
        <v>836</v>
      </c>
    </row>
    <row r="59" spans="1:7" s="390" customFormat="1" ht="18" customHeight="1" x14ac:dyDescent="0.2">
      <c r="A59" s="394"/>
      <c r="B59" s="436"/>
      <c r="C59" s="648"/>
      <c r="D59" s="689"/>
      <c r="E59" s="689"/>
      <c r="F59" s="690"/>
      <c r="G59" s="691"/>
    </row>
    <row r="60" spans="1:7" s="390" customFormat="1" ht="18" customHeight="1" x14ac:dyDescent="0.2">
      <c r="A60" s="394"/>
      <c r="B60" s="16"/>
      <c r="C60" s="406"/>
      <c r="D60" s="677"/>
      <c r="E60" s="677"/>
      <c r="F60" s="678"/>
      <c r="G60" s="678"/>
    </row>
    <row r="61" spans="1:7" s="390" customFormat="1" ht="18" customHeight="1" x14ac:dyDescent="0.2">
      <c r="A61" s="392" t="s">
        <v>837</v>
      </c>
      <c r="B61" s="393" t="s">
        <v>838</v>
      </c>
      <c r="C61" s="836">
        <f>C62+C63+C64+C65+C66</f>
        <v>875400</v>
      </c>
      <c r="D61" s="674"/>
      <c r="E61" s="674"/>
      <c r="F61" s="675"/>
      <c r="G61" s="675"/>
    </row>
    <row r="62" spans="1:7" s="390" customFormat="1" ht="18" customHeight="1" x14ac:dyDescent="0.2">
      <c r="A62" s="394" t="s">
        <v>839</v>
      </c>
      <c r="B62" s="653" t="s">
        <v>840</v>
      </c>
      <c r="C62" s="837">
        <v>463946</v>
      </c>
      <c r="D62" s="677"/>
      <c r="E62" s="677"/>
      <c r="F62" s="678"/>
      <c r="G62" s="678"/>
    </row>
    <row r="63" spans="1:7" s="390" customFormat="1" ht="18" customHeight="1" x14ac:dyDescent="0.2">
      <c r="A63" s="394" t="s">
        <v>841</v>
      </c>
      <c r="B63" s="653" t="s">
        <v>842</v>
      </c>
      <c r="C63" s="837">
        <v>287769</v>
      </c>
      <c r="D63" s="677"/>
      <c r="E63" s="677"/>
      <c r="F63" s="678"/>
      <c r="G63" s="678"/>
    </row>
    <row r="64" spans="1:7" s="390" customFormat="1" ht="18" customHeight="1" x14ac:dyDescent="0.2">
      <c r="A64" s="394" t="s">
        <v>843</v>
      </c>
      <c r="B64" s="653" t="s">
        <v>844</v>
      </c>
      <c r="C64" s="837">
        <v>123445</v>
      </c>
      <c r="D64" s="677"/>
      <c r="E64" s="677"/>
      <c r="F64" s="678"/>
      <c r="G64" s="678"/>
    </row>
    <row r="65" spans="1:7" s="390" customFormat="1" ht="18" customHeight="1" x14ac:dyDescent="0.2">
      <c r="A65" s="394" t="s">
        <v>845</v>
      </c>
      <c r="B65" s="653" t="s">
        <v>846</v>
      </c>
      <c r="C65" s="837">
        <v>240</v>
      </c>
      <c r="D65" s="677"/>
      <c r="E65" s="677"/>
      <c r="F65" s="678"/>
      <c r="G65" s="678"/>
    </row>
    <row r="66" spans="1:7" s="390" customFormat="1" ht="18" customHeight="1" x14ac:dyDescent="0.2">
      <c r="A66" s="394"/>
      <c r="B66" s="653"/>
      <c r="C66" s="692"/>
      <c r="D66" s="677"/>
      <c r="E66" s="677"/>
      <c r="F66" s="678"/>
      <c r="G66" s="678"/>
    </row>
    <row r="67" spans="1:7" s="390" customFormat="1" ht="18" customHeight="1" x14ac:dyDescent="0.25">
      <c r="A67" s="394"/>
      <c r="B67" s="431"/>
      <c r="C67" s="406"/>
      <c r="D67" s="677"/>
      <c r="E67" s="677"/>
      <c r="F67" s="678"/>
      <c r="G67" s="678"/>
    </row>
    <row r="68" spans="1:7" s="390" customFormat="1" ht="18.600000000000001" customHeight="1" x14ac:dyDescent="0.25">
      <c r="A68" s="392" t="s">
        <v>847</v>
      </c>
      <c r="B68" s="433" t="s">
        <v>848</v>
      </c>
      <c r="C68" s="836">
        <f>C69+C70+C71</f>
        <v>1474528</v>
      </c>
      <c r="D68" s="674"/>
      <c r="E68" s="674"/>
      <c r="F68" s="675"/>
      <c r="G68" s="675"/>
    </row>
    <row r="69" spans="1:7" s="390" customFormat="1" ht="18" customHeight="1" x14ac:dyDescent="0.2">
      <c r="A69" s="394" t="s">
        <v>849</v>
      </c>
      <c r="B69" s="653" t="s">
        <v>850</v>
      </c>
      <c r="C69" s="709">
        <v>972642</v>
      </c>
      <c r="D69" s="677"/>
      <c r="E69" s="677"/>
      <c r="F69" s="678"/>
      <c r="G69" s="678"/>
    </row>
    <row r="70" spans="1:7" s="390" customFormat="1" ht="18" customHeight="1" x14ac:dyDescent="0.2">
      <c r="A70" s="394" t="s">
        <v>851</v>
      </c>
      <c r="B70" s="653" t="s">
        <v>852</v>
      </c>
      <c r="C70" s="709">
        <f>345408+148838</f>
        <v>494246</v>
      </c>
      <c r="D70" s="677"/>
      <c r="E70" s="677"/>
      <c r="F70" s="678"/>
      <c r="G70" s="678"/>
    </row>
    <row r="71" spans="1:7" s="390" customFormat="1" ht="18" customHeight="1" x14ac:dyDescent="0.2">
      <c r="A71" s="394" t="s">
        <v>785</v>
      </c>
      <c r="B71" s="653" t="s">
        <v>853</v>
      </c>
      <c r="C71" s="837">
        <v>7640</v>
      </c>
      <c r="D71" s="677"/>
      <c r="E71" s="677"/>
      <c r="F71" s="678"/>
      <c r="G71" s="678"/>
    </row>
    <row r="72" spans="1:7" s="390" customFormat="1" ht="18" customHeight="1" x14ac:dyDescent="0.2">
      <c r="A72" s="394"/>
      <c r="B72" s="16"/>
      <c r="C72" s="406"/>
      <c r="D72" s="677"/>
      <c r="E72" s="677"/>
      <c r="F72" s="678"/>
      <c r="G72" s="678"/>
    </row>
    <row r="73" spans="1:7" s="390" customFormat="1" ht="18" customHeight="1" x14ac:dyDescent="0.2">
      <c r="A73" s="392" t="s">
        <v>854</v>
      </c>
      <c r="B73" s="393" t="s">
        <v>414</v>
      </c>
      <c r="C73" s="836">
        <f>C74+C75+C76+C77+C78+C79+C80+C81+C82+C83</f>
        <v>838134</v>
      </c>
      <c r="D73" s="674"/>
      <c r="E73" s="674"/>
      <c r="F73" s="675"/>
      <c r="G73" s="675"/>
    </row>
    <row r="74" spans="1:7" s="390" customFormat="1" x14ac:dyDescent="0.2">
      <c r="A74" s="394" t="s">
        <v>855</v>
      </c>
      <c r="B74" s="653" t="s">
        <v>791</v>
      </c>
      <c r="C74" s="839">
        <v>6258</v>
      </c>
      <c r="D74" s="677"/>
      <c r="E74" s="677"/>
      <c r="F74" s="678"/>
      <c r="G74" s="678"/>
    </row>
    <row r="75" spans="1:7" s="390" customFormat="1" ht="25.5" x14ac:dyDescent="0.2">
      <c r="A75" s="394" t="s">
        <v>856</v>
      </c>
      <c r="B75" s="651" t="s">
        <v>793</v>
      </c>
      <c r="C75" s="839">
        <v>13070</v>
      </c>
      <c r="D75" s="677"/>
      <c r="E75" s="677"/>
      <c r="F75" s="678"/>
      <c r="G75" s="678"/>
    </row>
    <row r="76" spans="1:7" s="390" customFormat="1" ht="25.5" x14ac:dyDescent="0.2">
      <c r="A76" s="394" t="s">
        <v>785</v>
      </c>
      <c r="B76" s="651" t="s">
        <v>794</v>
      </c>
      <c r="C76" s="839">
        <v>23039</v>
      </c>
      <c r="D76" s="677"/>
      <c r="E76" s="677"/>
      <c r="F76" s="678"/>
      <c r="G76" s="678"/>
    </row>
    <row r="77" spans="1:7" s="390" customFormat="1" x14ac:dyDescent="0.2">
      <c r="A77" s="394"/>
      <c r="B77" s="651" t="s">
        <v>795</v>
      </c>
      <c r="C77" s="839">
        <v>107318</v>
      </c>
      <c r="D77" s="677"/>
      <c r="E77" s="677"/>
      <c r="F77" s="678"/>
      <c r="G77" s="678"/>
    </row>
    <row r="78" spans="1:7" s="390" customFormat="1" x14ac:dyDescent="0.2">
      <c r="A78" s="394"/>
      <c r="B78" s="651" t="s">
        <v>796</v>
      </c>
      <c r="C78" s="839">
        <v>81113</v>
      </c>
      <c r="D78" s="677"/>
      <c r="E78" s="677"/>
      <c r="F78" s="678"/>
      <c r="G78" s="678"/>
    </row>
    <row r="79" spans="1:7" s="390" customFormat="1" x14ac:dyDescent="0.2">
      <c r="A79" s="394"/>
      <c r="B79" s="651" t="s">
        <v>797</v>
      </c>
      <c r="C79" s="839">
        <v>9244</v>
      </c>
      <c r="D79" s="677"/>
      <c r="E79" s="677"/>
      <c r="F79" s="678"/>
      <c r="G79" s="678"/>
    </row>
    <row r="80" spans="1:7" s="390" customFormat="1" x14ac:dyDescent="0.2">
      <c r="A80" s="394"/>
      <c r="B80" s="651" t="s">
        <v>798</v>
      </c>
      <c r="C80" s="839">
        <v>8788</v>
      </c>
      <c r="D80" s="677"/>
      <c r="E80" s="677"/>
      <c r="F80" s="678"/>
      <c r="G80" s="678"/>
    </row>
    <row r="81" spans="1:7" s="390" customFormat="1" x14ac:dyDescent="0.2">
      <c r="A81" s="394"/>
      <c r="B81" s="651" t="s">
        <v>799</v>
      </c>
      <c r="C81" s="839">
        <v>39</v>
      </c>
      <c r="D81" s="677"/>
      <c r="E81" s="677"/>
      <c r="F81" s="678"/>
      <c r="G81" s="678"/>
    </row>
    <row r="82" spans="1:7" s="390" customFormat="1" x14ac:dyDescent="0.2">
      <c r="A82" s="394"/>
      <c r="B82" s="654" t="s">
        <v>857</v>
      </c>
      <c r="C82" s="839">
        <v>394716</v>
      </c>
      <c r="D82" s="677"/>
      <c r="E82" s="677"/>
      <c r="F82" s="678"/>
      <c r="G82" s="678"/>
    </row>
    <row r="83" spans="1:7" s="390" customFormat="1" x14ac:dyDescent="0.2">
      <c r="A83" s="394"/>
      <c r="B83" s="651" t="s">
        <v>858</v>
      </c>
      <c r="C83" s="837">
        <v>194549</v>
      </c>
      <c r="D83" s="677"/>
      <c r="E83" s="677"/>
      <c r="F83" s="678"/>
      <c r="G83" s="678"/>
    </row>
    <row r="84" spans="1:7" s="390" customFormat="1" x14ac:dyDescent="0.25">
      <c r="A84" s="394"/>
      <c r="B84" s="431"/>
      <c r="C84" s="406"/>
      <c r="D84" s="677"/>
      <c r="E84" s="677"/>
      <c r="F84" s="678"/>
      <c r="G84" s="678"/>
    </row>
    <row r="85" spans="1:7" s="390" customFormat="1" ht="18" customHeight="1" x14ac:dyDescent="0.25">
      <c r="A85" s="394"/>
      <c r="B85" s="431"/>
      <c r="C85" s="406"/>
      <c r="D85" s="677"/>
      <c r="E85" s="677"/>
      <c r="F85" s="678"/>
      <c r="G85" s="678"/>
    </row>
    <row r="86" spans="1:7" s="390" customFormat="1" ht="18" customHeight="1" x14ac:dyDescent="0.25">
      <c r="A86" s="394"/>
      <c r="B86" s="431"/>
      <c r="C86" s="406"/>
      <c r="D86" s="677"/>
      <c r="E86" s="677"/>
      <c r="F86" s="678"/>
      <c r="G86" s="678"/>
    </row>
    <row r="87" spans="1:7" s="390" customFormat="1" ht="18" customHeight="1" x14ac:dyDescent="0.25">
      <c r="A87" s="394"/>
      <c r="B87" s="431"/>
      <c r="C87" s="406"/>
      <c r="D87" s="677"/>
      <c r="E87" s="677"/>
      <c r="F87" s="678"/>
      <c r="G87" s="678"/>
    </row>
    <row r="88" spans="1:7" s="390" customFormat="1" ht="18" customHeight="1" x14ac:dyDescent="0.2">
      <c r="A88" s="394"/>
      <c r="B88" s="16"/>
      <c r="C88" s="406"/>
      <c r="D88" s="677"/>
      <c r="E88" s="677"/>
      <c r="F88" s="678"/>
      <c r="G88" s="678"/>
    </row>
    <row r="89" spans="1:7" s="390" customFormat="1" ht="18" customHeight="1" x14ac:dyDescent="0.2">
      <c r="A89" s="392" t="s">
        <v>859</v>
      </c>
      <c r="B89" s="393" t="s">
        <v>415</v>
      </c>
      <c r="C89" s="836">
        <f>C90+C91+C92</f>
        <v>926578</v>
      </c>
      <c r="D89" s="674"/>
      <c r="E89" s="674"/>
      <c r="F89" s="675"/>
      <c r="G89" s="675"/>
    </row>
    <row r="90" spans="1:7" s="390" customFormat="1" x14ac:dyDescent="0.2">
      <c r="A90" s="395" t="s">
        <v>860</v>
      </c>
      <c r="B90" s="649" t="s">
        <v>861</v>
      </c>
      <c r="C90" s="708">
        <v>910523</v>
      </c>
      <c r="D90" s="683"/>
      <c r="E90" s="683"/>
      <c r="F90" s="684"/>
      <c r="G90" s="684"/>
    </row>
    <row r="91" spans="1:7" s="390" customFormat="1" x14ac:dyDescent="0.2">
      <c r="A91" s="395"/>
      <c r="B91" s="649" t="s">
        <v>862</v>
      </c>
      <c r="C91" s="708">
        <v>16055</v>
      </c>
      <c r="D91" s="683"/>
      <c r="E91" s="683"/>
      <c r="F91" s="684"/>
      <c r="G91" s="684"/>
    </row>
    <row r="92" spans="1:7" s="390" customFormat="1" x14ac:dyDescent="0.2">
      <c r="A92" s="395"/>
      <c r="B92" s="15"/>
      <c r="C92" s="407"/>
      <c r="D92" s="683"/>
      <c r="E92" s="683"/>
      <c r="F92" s="684"/>
      <c r="G92" s="684"/>
    </row>
    <row r="93" spans="1:7" s="390" customFormat="1" ht="18" customHeight="1" x14ac:dyDescent="0.2">
      <c r="A93" s="395"/>
      <c r="B93" s="15"/>
      <c r="C93" s="407"/>
      <c r="D93" s="683"/>
      <c r="E93" s="683"/>
      <c r="F93" s="684"/>
      <c r="G93" s="684"/>
    </row>
    <row r="94" spans="1:7" s="390" customFormat="1" ht="18" customHeight="1" x14ac:dyDescent="0.2">
      <c r="A94" s="397"/>
      <c r="B94" s="272" t="s">
        <v>863</v>
      </c>
      <c r="C94" s="721"/>
      <c r="D94" s="693"/>
      <c r="E94" s="693"/>
      <c r="F94" s="694"/>
      <c r="G94" s="695"/>
    </row>
    <row r="95" spans="1:7" s="399" customFormat="1" ht="37.5" customHeight="1" x14ac:dyDescent="0.2">
      <c r="A95" s="398" t="s">
        <v>780</v>
      </c>
      <c r="B95" s="659" t="s">
        <v>864</v>
      </c>
      <c r="C95" s="697">
        <f>SUM(C96:C101)</f>
        <v>1490691</v>
      </c>
      <c r="D95" s="697">
        <f>D96+D97+D98+D99+D100+D101</f>
        <v>349390</v>
      </c>
      <c r="E95" s="697">
        <f>E96+E97+E98+E99+E100+E101</f>
        <v>17058</v>
      </c>
      <c r="F95" s="697">
        <f>F96+F97+F98+F99+F100+F101</f>
        <v>332332</v>
      </c>
      <c r="G95" s="697"/>
    </row>
    <row r="96" spans="1:7" s="422" customFormat="1" ht="18" customHeight="1" x14ac:dyDescent="0.2">
      <c r="A96" s="437" t="s">
        <v>781</v>
      </c>
      <c r="B96" s="660" t="s">
        <v>865</v>
      </c>
      <c r="C96" s="703">
        <f>1153045</f>
        <v>1153045</v>
      </c>
      <c r="D96" s="698"/>
      <c r="E96" s="698"/>
      <c r="F96" s="698"/>
      <c r="G96" s="699" t="s">
        <v>866</v>
      </c>
    </row>
    <row r="97" spans="1:7" s="422" customFormat="1" ht="18" customHeight="1" x14ac:dyDescent="0.2">
      <c r="A97" s="437" t="s">
        <v>786</v>
      </c>
      <c r="B97" s="660" t="s">
        <v>865</v>
      </c>
      <c r="C97" s="703">
        <v>88191</v>
      </c>
      <c r="D97" s="698"/>
      <c r="E97" s="698"/>
      <c r="F97" s="698"/>
      <c r="G97" s="700" t="s">
        <v>867</v>
      </c>
    </row>
    <row r="98" spans="1:7" s="422" customFormat="1" ht="18" customHeight="1" x14ac:dyDescent="0.2">
      <c r="A98" s="437" t="s">
        <v>785</v>
      </c>
      <c r="B98" s="758" t="s">
        <v>868</v>
      </c>
      <c r="C98" s="703">
        <v>88292</v>
      </c>
      <c r="D98" s="698"/>
      <c r="E98" s="698"/>
      <c r="F98" s="698"/>
      <c r="G98" s="700" t="s">
        <v>869</v>
      </c>
    </row>
    <row r="99" spans="1:7" s="422" customFormat="1" ht="18" customHeight="1" x14ac:dyDescent="0.2">
      <c r="A99" s="437"/>
      <c r="B99" s="661" t="s">
        <v>870</v>
      </c>
      <c r="C99" s="703">
        <v>31824</v>
      </c>
      <c r="D99" s="698"/>
      <c r="E99" s="698"/>
      <c r="F99" s="698"/>
      <c r="G99" s="700" t="s">
        <v>869</v>
      </c>
    </row>
    <row r="100" spans="1:7" s="422" customFormat="1" ht="21.75" customHeight="1" x14ac:dyDescent="0.2">
      <c r="A100" s="423"/>
      <c r="B100" s="652" t="s">
        <v>871</v>
      </c>
      <c r="C100" s="829">
        <v>22938</v>
      </c>
      <c r="D100" s="830"/>
      <c r="E100" s="830"/>
      <c r="F100" s="830"/>
      <c r="G100" s="702" t="s">
        <v>872</v>
      </c>
    </row>
    <row r="101" spans="1:7" s="422" customFormat="1" x14ac:dyDescent="0.2">
      <c r="A101" s="423"/>
      <c r="B101" s="649" t="s">
        <v>873</v>
      </c>
      <c r="C101" s="831">
        <v>106401</v>
      </c>
      <c r="D101" s="830">
        <v>349390</v>
      </c>
      <c r="E101" s="830">
        <v>17058</v>
      </c>
      <c r="F101" s="830">
        <v>332332</v>
      </c>
      <c r="G101" s="699" t="s">
        <v>874</v>
      </c>
    </row>
    <row r="102" spans="1:7" s="390" customFormat="1" ht="18" customHeight="1" x14ac:dyDescent="0.25">
      <c r="A102" s="400"/>
      <c r="B102" s="463"/>
      <c r="C102" s="409"/>
      <c r="D102" s="409"/>
      <c r="E102" s="409"/>
      <c r="F102" s="409"/>
      <c r="G102" s="696"/>
    </row>
    <row r="103" spans="1:7" s="390" customFormat="1" ht="18" customHeight="1" x14ac:dyDescent="0.2">
      <c r="A103" s="400"/>
      <c r="B103" s="16"/>
      <c r="C103" s="409"/>
      <c r="D103" s="409"/>
      <c r="E103" s="409"/>
      <c r="F103" s="409"/>
      <c r="G103" s="409"/>
    </row>
    <row r="104" spans="1:7" s="399" customFormat="1" ht="18" customHeight="1" x14ac:dyDescent="0.2">
      <c r="A104" s="398" t="s">
        <v>811</v>
      </c>
      <c r="B104" s="103" t="s">
        <v>875</v>
      </c>
      <c r="C104" s="697">
        <v>0</v>
      </c>
      <c r="D104" s="408"/>
      <c r="E104" s="408"/>
      <c r="F104" s="408"/>
      <c r="G104" s="408"/>
    </row>
    <row r="105" spans="1:7" s="390" customFormat="1" ht="18" customHeight="1" x14ac:dyDescent="0.2">
      <c r="A105" s="400" t="s">
        <v>812</v>
      </c>
      <c r="B105" s="16" t="s">
        <v>783</v>
      </c>
      <c r="C105" s="409"/>
      <c r="D105" s="409"/>
      <c r="E105" s="409"/>
      <c r="F105" s="409"/>
      <c r="G105" s="409"/>
    </row>
    <row r="106" spans="1:7" s="390" customFormat="1" ht="18" customHeight="1" x14ac:dyDescent="0.2">
      <c r="A106" s="400" t="s">
        <v>815</v>
      </c>
      <c r="B106" s="16" t="s">
        <v>783</v>
      </c>
      <c r="C106" s="409"/>
      <c r="D106" s="409"/>
      <c r="E106" s="409"/>
      <c r="F106" s="409"/>
      <c r="G106" s="409"/>
    </row>
    <row r="107" spans="1:7" s="390" customFormat="1" ht="18" customHeight="1" x14ac:dyDescent="0.2">
      <c r="A107" s="400" t="s">
        <v>785</v>
      </c>
      <c r="B107" s="16" t="s">
        <v>783</v>
      </c>
      <c r="C107" s="409"/>
      <c r="D107" s="409"/>
      <c r="E107" s="409"/>
      <c r="F107" s="409"/>
      <c r="G107" s="409"/>
    </row>
    <row r="108" spans="1:7" s="390" customFormat="1" ht="18" customHeight="1" x14ac:dyDescent="0.2">
      <c r="A108" s="400"/>
      <c r="B108" s="16"/>
      <c r="C108" s="409"/>
      <c r="D108" s="409"/>
      <c r="E108" s="409"/>
      <c r="F108" s="409"/>
      <c r="G108" s="409"/>
    </row>
    <row r="109" spans="1:7" s="399" customFormat="1" ht="18" customHeight="1" x14ac:dyDescent="0.2">
      <c r="A109" s="398" t="s">
        <v>876</v>
      </c>
      <c r="B109" s="103" t="s">
        <v>877</v>
      </c>
      <c r="C109" s="697">
        <f>C110+C111+C112</f>
        <v>872</v>
      </c>
      <c r="D109" s="697"/>
      <c r="E109" s="697"/>
      <c r="F109" s="697"/>
      <c r="G109" s="697"/>
    </row>
    <row r="110" spans="1:7" s="399" customFormat="1" ht="18" customHeight="1" x14ac:dyDescent="0.2">
      <c r="A110" s="401" t="s">
        <v>878</v>
      </c>
      <c r="B110" s="653" t="s">
        <v>879</v>
      </c>
      <c r="C110" s="708">
        <v>300</v>
      </c>
      <c r="D110" s="708"/>
      <c r="E110" s="708"/>
      <c r="F110" s="708"/>
      <c r="G110" s="708" t="s">
        <v>880</v>
      </c>
    </row>
    <row r="111" spans="1:7" s="399" customFormat="1" ht="18" customHeight="1" x14ac:dyDescent="0.2">
      <c r="A111" s="401" t="s">
        <v>881</v>
      </c>
      <c r="B111" s="653" t="s">
        <v>882</v>
      </c>
      <c r="C111" s="708">
        <v>572</v>
      </c>
      <c r="D111" s="708"/>
      <c r="E111" s="708"/>
      <c r="F111" s="708"/>
      <c r="G111" s="708" t="s">
        <v>883</v>
      </c>
    </row>
    <row r="112" spans="1:7" s="399" customFormat="1" ht="18" customHeight="1" x14ac:dyDescent="0.2">
      <c r="A112" s="400" t="s">
        <v>785</v>
      </c>
      <c r="B112" s="15"/>
      <c r="C112" s="409"/>
      <c r="D112" s="411"/>
      <c r="E112" s="411"/>
      <c r="F112" s="411"/>
      <c r="G112" s="411"/>
    </row>
    <row r="113" spans="1:7" s="399" customFormat="1" ht="18" customHeight="1" x14ac:dyDescent="0.2">
      <c r="A113" s="401"/>
      <c r="B113" s="402"/>
      <c r="C113" s="411"/>
      <c r="D113" s="411"/>
      <c r="E113" s="411"/>
      <c r="F113" s="411"/>
      <c r="G113" s="411"/>
    </row>
    <row r="114" spans="1:7" s="399" customFormat="1" ht="18" customHeight="1" x14ac:dyDescent="0.2">
      <c r="A114" s="398" t="s">
        <v>884</v>
      </c>
      <c r="B114" s="103" t="s">
        <v>885</v>
      </c>
      <c r="C114" s="697">
        <f>C115+C116+C117+C118+C119+C120</f>
        <v>21560</v>
      </c>
      <c r="D114" s="697"/>
      <c r="E114" s="697"/>
      <c r="F114" s="697"/>
      <c r="G114" s="697"/>
    </row>
    <row r="115" spans="1:7" s="390" customFormat="1" ht="18" customHeight="1" x14ac:dyDescent="0.2">
      <c r="A115" s="400" t="s">
        <v>886</v>
      </c>
      <c r="B115" s="650" t="s">
        <v>887</v>
      </c>
      <c r="C115" s="832">
        <v>7323</v>
      </c>
      <c r="D115" s="713" t="s">
        <v>513</v>
      </c>
      <c r="E115" s="713" t="s">
        <v>513</v>
      </c>
      <c r="F115" s="714" t="s">
        <v>513</v>
      </c>
      <c r="G115" s="701" t="s">
        <v>888</v>
      </c>
    </row>
    <row r="116" spans="1:7" s="390" customFormat="1" ht="18" customHeight="1" x14ac:dyDescent="0.25">
      <c r="A116" s="400" t="s">
        <v>889</v>
      </c>
      <c r="B116" s="645" t="s">
        <v>890</v>
      </c>
      <c r="C116" s="833">
        <v>6922</v>
      </c>
      <c r="D116" s="716" t="s">
        <v>513</v>
      </c>
      <c r="E116" s="716" t="s">
        <v>513</v>
      </c>
      <c r="F116" s="717" t="s">
        <v>513</v>
      </c>
      <c r="G116" s="715" t="s">
        <v>891</v>
      </c>
    </row>
    <row r="117" spans="1:7" s="390" customFormat="1" ht="18" customHeight="1" x14ac:dyDescent="0.2">
      <c r="A117" s="400" t="s">
        <v>892</v>
      </c>
      <c r="B117" s="650" t="s">
        <v>893</v>
      </c>
      <c r="C117" s="833">
        <v>3123</v>
      </c>
      <c r="D117" s="716" t="s">
        <v>513</v>
      </c>
      <c r="E117" s="716" t="s">
        <v>513</v>
      </c>
      <c r="F117" s="717" t="s">
        <v>513</v>
      </c>
      <c r="G117" s="719" t="s">
        <v>894</v>
      </c>
    </row>
    <row r="118" spans="1:7" s="390" customFormat="1" x14ac:dyDescent="0.2">
      <c r="A118" s="400" t="s">
        <v>895</v>
      </c>
      <c r="B118" s="765" t="s">
        <v>896</v>
      </c>
      <c r="C118" s="833">
        <v>1228</v>
      </c>
      <c r="D118" s="718" t="s">
        <v>513</v>
      </c>
      <c r="E118" s="718" t="s">
        <v>513</v>
      </c>
      <c r="F118" s="764" t="s">
        <v>513</v>
      </c>
      <c r="G118" s="765" t="s">
        <v>897</v>
      </c>
    </row>
    <row r="119" spans="1:7" s="390" customFormat="1" x14ac:dyDescent="0.25">
      <c r="A119" s="400" t="s">
        <v>898</v>
      </c>
      <c r="B119" s="765" t="s">
        <v>899</v>
      </c>
      <c r="C119" s="834">
        <v>1133</v>
      </c>
      <c r="D119" s="720" t="s">
        <v>513</v>
      </c>
      <c r="E119" s="720" t="s">
        <v>513</v>
      </c>
      <c r="F119" s="720" t="s">
        <v>513</v>
      </c>
      <c r="G119" s="765" t="s">
        <v>894</v>
      </c>
    </row>
    <row r="120" spans="1:7" s="390" customFormat="1" ht="18" customHeight="1" x14ac:dyDescent="0.2">
      <c r="A120" s="400"/>
      <c r="B120" s="759" t="s">
        <v>900</v>
      </c>
      <c r="C120" s="835">
        <v>1831</v>
      </c>
      <c r="D120" s="761" t="s">
        <v>513</v>
      </c>
      <c r="E120" s="761" t="s">
        <v>513</v>
      </c>
      <c r="F120" s="762" t="s">
        <v>513</v>
      </c>
      <c r="G120" s="763" t="s">
        <v>513</v>
      </c>
    </row>
    <row r="121" spans="1:7" s="390" customFormat="1" ht="18" customHeight="1" x14ac:dyDescent="0.2">
      <c r="A121" s="400"/>
      <c r="B121" s="205"/>
      <c r="C121" s="760"/>
      <c r="D121" s="760"/>
      <c r="E121" s="760"/>
      <c r="F121" s="760"/>
      <c r="G121" s="760"/>
    </row>
    <row r="122" spans="1:7" s="399" customFormat="1" ht="18" customHeight="1" x14ac:dyDescent="0.2">
      <c r="A122" s="398" t="s">
        <v>901</v>
      </c>
      <c r="B122" s="103" t="s">
        <v>902</v>
      </c>
      <c r="C122" s="408"/>
      <c r="D122" s="408"/>
      <c r="E122" s="408"/>
      <c r="F122" s="408"/>
      <c r="G122" s="408"/>
    </row>
    <row r="123" spans="1:7" s="390" customFormat="1" ht="18" customHeight="1" x14ac:dyDescent="0.2">
      <c r="A123" s="400" t="s">
        <v>903</v>
      </c>
      <c r="B123" s="16" t="s">
        <v>783</v>
      </c>
      <c r="C123" s="409"/>
      <c r="D123" s="409"/>
      <c r="E123" s="409"/>
      <c r="F123" s="409"/>
      <c r="G123" s="409"/>
    </row>
    <row r="124" spans="1:7" s="390" customFormat="1" ht="18" customHeight="1" x14ac:dyDescent="0.2">
      <c r="A124" s="400" t="s">
        <v>904</v>
      </c>
      <c r="B124" s="16" t="s">
        <v>783</v>
      </c>
      <c r="C124" s="409"/>
      <c r="D124" s="409"/>
      <c r="E124" s="409"/>
      <c r="F124" s="409"/>
      <c r="G124" s="409"/>
    </row>
    <row r="125" spans="1:7" s="390" customFormat="1" ht="18" customHeight="1" x14ac:dyDescent="0.2">
      <c r="A125" s="400" t="s">
        <v>785</v>
      </c>
      <c r="B125" s="16" t="s">
        <v>783</v>
      </c>
      <c r="C125" s="409"/>
      <c r="D125" s="409"/>
      <c r="E125" s="409"/>
      <c r="F125" s="409"/>
      <c r="G125" s="409"/>
    </row>
    <row r="126" spans="1:7" s="399" customFormat="1" ht="18" customHeight="1" x14ac:dyDescent="0.2">
      <c r="A126" s="398" t="s">
        <v>905</v>
      </c>
      <c r="B126" s="403" t="s">
        <v>906</v>
      </c>
      <c r="C126" s="408"/>
      <c r="D126" s="408"/>
      <c r="E126" s="408"/>
      <c r="F126" s="408"/>
      <c r="G126" s="408"/>
    </row>
    <row r="128" spans="1:7" x14ac:dyDescent="0.2">
      <c r="A128" s="30" t="s">
        <v>290</v>
      </c>
    </row>
    <row r="129" spans="1:4" ht="46.5" customHeight="1" x14ac:dyDescent="0.2">
      <c r="A129" s="984" t="s">
        <v>907</v>
      </c>
      <c r="B129" s="984"/>
      <c r="C129" s="984"/>
      <c r="D129" s="984"/>
    </row>
    <row r="130" spans="1:4" ht="73.5" customHeight="1" x14ac:dyDescent="0.2">
      <c r="A130" s="984" t="s">
        <v>908</v>
      </c>
      <c r="B130" s="984"/>
      <c r="C130" s="984"/>
      <c r="D130" s="984"/>
    </row>
  </sheetData>
  <mergeCells count="2">
    <mergeCell ref="A129:D129"/>
    <mergeCell ref="A130:D130"/>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7</vt:i4>
      </vt:variant>
      <vt:variant>
        <vt:lpstr>Diapazoni ar nosaukumiem</vt:lpstr>
      </vt:variant>
      <vt:variant>
        <vt:i4>5</vt:i4>
      </vt:variant>
    </vt:vector>
  </HeadingPairs>
  <TitlesOfParts>
    <vt:vector size="12" baseType="lpstr">
      <vt:lpstr>Budžeta tāme</vt:lpstr>
      <vt:lpstr>PZ Aprēķins</vt:lpstr>
      <vt:lpstr>Bilance</vt:lpstr>
      <vt:lpstr>Naudas plūsma</vt:lpstr>
      <vt:lpstr>Naturālie rādītāji</vt:lpstr>
      <vt:lpstr>Ieguldījumu tāme</vt:lpstr>
      <vt:lpstr>Kreditori, Debitori</vt:lpstr>
      <vt:lpstr>Bilance!Drukas_apgabals</vt:lpstr>
      <vt:lpstr>'Ieguldījumu tāme'!Drukas_apgabals</vt:lpstr>
      <vt:lpstr>'Kreditori, Debitori'!Drukas_apgabals</vt:lpstr>
      <vt:lpstr>'Naturālie rādītāji'!Drukas_apgabals</vt:lpstr>
      <vt:lpstr>'PZ Aprēķins'!Drukas_apgabals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Karīna Šoka</dc:creator>
  <cp:keywords/>
  <dc:description/>
  <cp:lastModifiedBy>Ieva Kļaviņa</cp:lastModifiedBy>
  <cp:revision/>
  <dcterms:created xsi:type="dcterms:W3CDTF">2015-06-08T06:33:04Z</dcterms:created>
  <dcterms:modified xsi:type="dcterms:W3CDTF">2026-05-12T07:55:03Z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 id">
    <vt:lpwstr>5a320f60-c6ab-4277-be08-d6d35fa3b0e4</vt:lpwstr>
  </property>
  <property fmtid="{D5CDD505-2E9C-101B-9397-08002B2CF9AE}" pid="3" name="Workbook type">
    <vt:lpwstr>Custom</vt:lpwstr>
  </property>
  <property fmtid="{D5CDD505-2E9C-101B-9397-08002B2CF9AE}" pid="4" name="Workbook version">
    <vt:lpwstr>Custom</vt:lpwstr>
  </property>
</Properties>
</file>